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autoCompressPictures="0"/>
  <mc:AlternateContent xmlns:mc="http://schemas.openxmlformats.org/markup-compatibility/2006">
    <mc:Choice Requires="x15">
      <x15ac:absPath xmlns:x15ac="http://schemas.microsoft.com/office/spreadsheetml/2010/11/ac" url="C:\Users\Tine\Downloads\"/>
    </mc:Choice>
  </mc:AlternateContent>
  <xr:revisionPtr revIDLastSave="0" documentId="8_{BA7F750F-42E6-4E65-A2B6-C6BFD83EA5C1}" xr6:coauthVersionLast="47" xr6:coauthVersionMax="47" xr10:uidLastSave="{00000000-0000-0000-0000-000000000000}"/>
  <bookViews>
    <workbookView xWindow="-110" yWindow="-110" windowWidth="25820" windowHeight="14020" tabRatio="993" activeTab="4"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state="hidden" r:id="rId12"/>
    <sheet name="Generelle satser" sheetId="11" r:id="rId13"/>
    <sheet name="Statens skalatrin" sheetId="10" r:id="rId14"/>
    <sheet name="Løntabel gældende fra" sheetId="12"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'BUPL-FOA'!$A$1:$H$108</definedName>
    <definedName name="_xlnm.Print_Area" localSheetId="0">'Forside 1'!$A$1:$I$27</definedName>
    <definedName name="_xlnm.Print_Area" localSheetId="12">'Generelle satser'!$A$1:$H$112</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Ledere!$A$1:$G$89</definedName>
    <definedName name="_xlnm.Print_Area" localSheetId="2">'Lærere og bh kl ledere'!$A$1:$I$168</definedName>
    <definedName name="_xlnm.Print_Area" localSheetId="14">'Løntabel gældende fra'!$A$1:$G$32</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0" i="45" l="1"/>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E99" i="35" l="1"/>
  <c r="E98" i="35"/>
  <c r="E91" i="35"/>
  <c r="E76" i="35"/>
  <c r="E54" i="35"/>
  <c r="G43" i="35"/>
  <c r="G44" i="35"/>
  <c r="G45" i="35"/>
  <c r="G46" i="35"/>
  <c r="G47" i="35"/>
  <c r="G42" i="35"/>
  <c r="F30" i="35"/>
  <c r="F31" i="35"/>
  <c r="F32" i="35"/>
  <c r="F33" i="35"/>
  <c r="F34" i="35"/>
  <c r="F35" i="35"/>
  <c r="F29" i="35"/>
  <c r="F12" i="35"/>
  <c r="F13" i="35"/>
  <c r="F14" i="35"/>
  <c r="F15" i="35"/>
  <c r="F11" i="35"/>
  <c r="C21" i="13"/>
  <c r="E13" i="13"/>
  <c r="J33" i="34" l="1"/>
  <c r="D13" i="33"/>
  <c r="C13" i="33"/>
  <c r="B13" i="33"/>
  <c r="B11" i="33"/>
  <c r="J10" i="33"/>
  <c r="H10" i="33"/>
  <c r="G14" i="33"/>
  <c r="G12" i="33"/>
  <c r="G10" i="33"/>
  <c r="F13" i="33"/>
  <c r="E13" i="33"/>
  <c r="F22" i="33"/>
  <c r="G95" i="20"/>
  <c r="F61" i="20"/>
  <c r="H61" i="20" s="1"/>
  <c r="H60" i="20"/>
  <c r="G40" i="20" l="1"/>
  <c r="F40" i="20"/>
  <c r="E40" i="20"/>
  <c r="D40" i="20"/>
  <c r="C40" i="20"/>
  <c r="B40" i="20"/>
  <c r="G39" i="20"/>
  <c r="F39" i="20"/>
  <c r="E39" i="20"/>
  <c r="D39" i="20"/>
  <c r="C39" i="20"/>
  <c r="B39" i="20"/>
  <c r="G38" i="20"/>
  <c r="F38" i="20"/>
  <c r="E38" i="20"/>
  <c r="D38" i="20"/>
  <c r="C38" i="20"/>
  <c r="B38" i="20"/>
  <c r="F76" i="20"/>
  <c r="H76" i="20" s="1"/>
  <c r="F75" i="20"/>
  <c r="H75" i="20" s="1"/>
  <c r="F74" i="20"/>
  <c r="H74" i="20" s="1"/>
  <c r="F72" i="20"/>
  <c r="F73" i="20"/>
  <c r="H73" i="20" s="1"/>
  <c r="H72" i="20"/>
  <c r="F53" i="20" l="1"/>
  <c r="F67" i="20" l="1"/>
  <c r="H67" i="20" s="1"/>
  <c r="H66" i="20"/>
  <c r="G55" i="20"/>
  <c r="F55" i="20"/>
  <c r="H55" i="20" s="1"/>
  <c r="G47" i="20"/>
  <c r="F47" i="20"/>
  <c r="H47" i="20" s="1"/>
  <c r="A27" i="11"/>
  <c r="I91" i="1" l="1"/>
  <c r="I92" i="1"/>
  <c r="I83" i="1" l="1"/>
  <c r="I82" i="1"/>
  <c r="J41" i="34"/>
  <c r="J32" i="34"/>
  <c r="J21" i="34"/>
  <c r="F21" i="33"/>
  <c r="F54" i="20"/>
  <c r="H54" i="20" s="1"/>
  <c r="H53" i="20"/>
  <c r="E88" i="35"/>
  <c r="E95" i="35" s="1"/>
  <c r="E51" i="35"/>
  <c r="F26" i="35"/>
  <c r="H85" i="20"/>
  <c r="H82" i="20"/>
  <c r="H57"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7" i="20"/>
  <c r="F106" i="20"/>
  <c r="G96" i="20"/>
  <c r="G94" i="20"/>
  <c r="H89" i="20"/>
  <c r="H88" i="20"/>
  <c r="H87" i="20"/>
  <c r="H86" i="20"/>
  <c r="H83" i="20"/>
  <c r="F48" i="20"/>
  <c r="H48" i="20" s="1"/>
  <c r="C99" i="35"/>
  <c r="D99" i="35" s="1"/>
  <c r="C98" i="35"/>
  <c r="D98" i="35" s="1"/>
  <c r="C91" i="35"/>
  <c r="D91" i="35" s="1"/>
  <c r="G85" i="35"/>
  <c r="E85" i="35"/>
  <c r="G84" i="35"/>
  <c r="E84" i="35"/>
  <c r="E62" i="35"/>
  <c r="C54" i="35"/>
  <c r="E43" i="35"/>
  <c r="F43" i="35" s="1"/>
  <c r="E44" i="35"/>
  <c r="F44" i="35" s="1"/>
  <c r="E45" i="35"/>
  <c r="F45" i="35" s="1"/>
  <c r="E46" i="35"/>
  <c r="F46" i="35" s="1"/>
  <c r="E47" i="35"/>
  <c r="F47" i="35" s="1"/>
  <c r="E42" i="35"/>
  <c r="F42" i="35" s="1"/>
  <c r="D30" i="35"/>
  <c r="E30" i="35" s="1"/>
  <c r="D31" i="35"/>
  <c r="E31" i="35" s="1"/>
  <c r="D32" i="35"/>
  <c r="E32" i="35" s="1"/>
  <c r="D33" i="35"/>
  <c r="E33" i="35" s="1"/>
  <c r="D34" i="35"/>
  <c r="E34" i="35" s="1"/>
  <c r="D35" i="35"/>
  <c r="E35" i="35" s="1"/>
  <c r="D29" i="35"/>
  <c r="E29" i="35" s="1"/>
  <c r="D12" i="35"/>
  <c r="E12" i="35" s="1"/>
  <c r="D13" i="35"/>
  <c r="E13" i="35" s="1"/>
  <c r="D14" i="35"/>
  <c r="E14" i="35" s="1"/>
  <c r="D15" i="35"/>
  <c r="E15" i="35" s="1"/>
  <c r="D11" i="35"/>
  <c r="E11" i="35" s="1"/>
  <c r="G11" i="1"/>
  <c r="H11" i="1" s="1"/>
  <c r="G12" i="1"/>
  <c r="H12" i="1" s="1"/>
  <c r="G13" i="1"/>
  <c r="H13" i="1" s="1"/>
  <c r="G10" i="1"/>
  <c r="H10" i="1" s="1"/>
  <c r="D13" i="1"/>
  <c r="E13" i="1" s="1"/>
  <c r="D12" i="1"/>
  <c r="E12" i="1" s="1"/>
  <c r="D11" i="1"/>
  <c r="E11" i="1" s="1"/>
  <c r="D10" i="1"/>
  <c r="E10" i="1" s="1"/>
  <c r="F110" i="1"/>
  <c r="F109" i="1"/>
  <c r="F108"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48" i="1"/>
  <c r="F148" i="1" s="1"/>
  <c r="B147" i="1"/>
  <c r="F147" i="1" s="1"/>
  <c r="B146" i="1"/>
  <c r="F146" i="1" s="1"/>
  <c r="B145" i="1"/>
  <c r="F145" i="1" s="1"/>
  <c r="B121" i="1"/>
  <c r="F121" i="1" s="1"/>
  <c r="B120" i="1"/>
  <c r="F120" i="1" s="1"/>
  <c r="B119" i="1"/>
  <c r="F119" i="1" s="1"/>
  <c r="B118" i="1"/>
  <c r="F118" i="1" s="1"/>
  <c r="O45" i="10"/>
  <c r="O46" i="10" s="1"/>
  <c r="G16" i="34" s="1"/>
  <c r="J16" i="34" s="1"/>
  <c r="O54" i="10"/>
  <c r="O55" i="10" s="1"/>
  <c r="G11" i="24" s="1"/>
  <c r="J11" i="24" s="1"/>
  <c r="H11" i="24" s="1"/>
  <c r="O63" i="10"/>
  <c r="O64" i="10" s="1"/>
  <c r="G24" i="34" s="1"/>
  <c r="J24" i="34" s="1"/>
  <c r="C76" i="35"/>
  <c r="D76" i="35" s="1"/>
  <c r="F97" i="1"/>
  <c r="F101" i="1"/>
  <c r="E81" i="35"/>
  <c r="A98"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81" i="20"/>
  <c r="G48"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1" i="20" s="1"/>
  <c r="G148" i="10"/>
  <c r="G149" i="10" s="1"/>
  <c r="F147" i="10"/>
  <c r="F148" i="10" s="1"/>
  <c r="F149" i="10" s="1"/>
  <c r="D147" i="10"/>
  <c r="D148" i="10" s="1"/>
  <c r="B41"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H40"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67" i="1"/>
  <c r="E167" i="1" s="1"/>
  <c r="C166" i="1"/>
  <c r="E166" i="1" s="1"/>
  <c r="C165" i="1"/>
  <c r="C164" i="1"/>
  <c r="E164" i="1" s="1"/>
  <c r="C163" i="1"/>
  <c r="C159" i="1"/>
  <c r="F159" i="1" s="1"/>
  <c r="G159" i="1" s="1"/>
  <c r="H159" i="1" s="1"/>
  <c r="C161" i="1"/>
  <c r="C160" i="1"/>
  <c r="C158" i="1"/>
  <c r="E158" i="1" s="1"/>
  <c r="C157" i="1"/>
  <c r="E157" i="1" s="1"/>
  <c r="C156" i="1"/>
  <c r="C155" i="1"/>
  <c r="C154" i="1"/>
  <c r="C153" i="1"/>
  <c r="E153" i="1" s="1"/>
  <c r="C127" i="1"/>
  <c r="E127" i="1" s="1"/>
  <c r="C139" i="1"/>
  <c r="E139" i="1" s="1"/>
  <c r="C138" i="1"/>
  <c r="C133" i="1"/>
  <c r="C132" i="1"/>
  <c r="F132" i="1" s="1"/>
  <c r="G132" i="1" s="1"/>
  <c r="H132" i="1" s="1"/>
  <c r="C131" i="1"/>
  <c r="C135" i="1" s="1"/>
  <c r="C130" i="1"/>
  <c r="E130" i="1" s="1"/>
  <c r="C129" i="1"/>
  <c r="E129" i="1" s="1"/>
  <c r="C128" i="1"/>
  <c r="C126" i="1"/>
  <c r="E126" i="1" s="1"/>
  <c r="I58" i="24"/>
  <c r="I57" i="24"/>
  <c r="I52" i="24"/>
  <c r="I51" i="24"/>
  <c r="I46" i="24"/>
  <c r="I45" i="24"/>
  <c r="I40" i="24"/>
  <c r="I39" i="24"/>
  <c r="I34" i="24"/>
  <c r="I33" i="24"/>
  <c r="I32" i="24"/>
  <c r="I31" i="24"/>
  <c r="I30" i="24"/>
  <c r="F23" i="24"/>
  <c r="G107" i="20"/>
  <c r="G106" i="20"/>
  <c r="F105" i="20"/>
  <c r="G93"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107" i="1"/>
  <c r="A48" i="13"/>
  <c r="E38" i="13"/>
  <c r="E37" i="13"/>
  <c r="F24" i="13"/>
  <c r="E22" i="13"/>
  <c r="F12" i="13"/>
  <c r="E12" i="13"/>
  <c r="F11" i="13"/>
  <c r="E11" i="13"/>
  <c r="F10" i="13"/>
  <c r="A114"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1" i="1"/>
  <c r="F151" i="1"/>
  <c r="F124"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F44" i="34" l="1"/>
  <c r="F34" i="20"/>
  <c r="B44" i="34"/>
  <c r="B34" i="20"/>
  <c r="C44" i="34"/>
  <c r="C34" i="20"/>
  <c r="G44" i="34"/>
  <c r="J44" i="34" s="1"/>
  <c r="H44" i="34" s="1"/>
  <c r="G34" i="20"/>
  <c r="H34" i="20" s="1"/>
  <c r="D44" i="34"/>
  <c r="D34" i="20"/>
  <c r="G8" i="20"/>
  <c r="H8" i="20" s="1"/>
  <c r="E32" i="20"/>
  <c r="F153" i="1"/>
  <c r="G153" i="1" s="1"/>
  <c r="H153" i="1" s="1"/>
  <c r="O122" i="10"/>
  <c r="H122" i="10"/>
  <c r="J122" i="10"/>
  <c r="D122" i="10"/>
  <c r="F12" i="20"/>
  <c r="L122" i="10"/>
  <c r="F122" i="10"/>
  <c r="C134" i="1"/>
  <c r="F134" i="1" s="1"/>
  <c r="G134" i="1" s="1"/>
  <c r="H134" i="1" s="1"/>
  <c r="F41" i="20"/>
  <c r="J12" i="33"/>
  <c r="H12" i="33" s="1"/>
  <c r="F31" i="20"/>
  <c r="D125" i="10"/>
  <c r="F23" i="20"/>
  <c r="L92" i="10"/>
  <c r="J131" i="10"/>
  <c r="O47" i="10"/>
  <c r="E135" i="1"/>
  <c r="F135" i="1"/>
  <c r="G135" i="1" s="1"/>
  <c r="H135" i="1" s="1"/>
  <c r="F165" i="1"/>
  <c r="G165" i="1" s="1"/>
  <c r="H165" i="1" s="1"/>
  <c r="E165" i="1"/>
  <c r="F138" i="1"/>
  <c r="G138" i="1" s="1"/>
  <c r="H138" i="1" s="1"/>
  <c r="E138" i="1"/>
  <c r="F160" i="1"/>
  <c r="G160" i="1" s="1"/>
  <c r="H160" i="1" s="1"/>
  <c r="E160" i="1"/>
  <c r="F161" i="1"/>
  <c r="G161" i="1" s="1"/>
  <c r="H161" i="1" s="1"/>
  <c r="E161" i="1"/>
  <c r="C162" i="1"/>
  <c r="E162" i="1" s="1"/>
  <c r="E159" i="1"/>
  <c r="F139" i="1"/>
  <c r="G139" i="1" s="1"/>
  <c r="H139" i="1" s="1"/>
  <c r="F129" i="1"/>
  <c r="G129" i="1" s="1"/>
  <c r="H129" i="1" s="1"/>
  <c r="F154" i="1"/>
  <c r="G154" i="1" s="1"/>
  <c r="H154" i="1" s="1"/>
  <c r="E154" i="1"/>
  <c r="F163" i="1"/>
  <c r="G163" i="1" s="1"/>
  <c r="H163" i="1" s="1"/>
  <c r="E163" i="1"/>
  <c r="C137" i="1"/>
  <c r="E137" i="1" s="1"/>
  <c r="E133" i="1"/>
  <c r="F128" i="1"/>
  <c r="G128" i="1" s="1"/>
  <c r="H128" i="1" s="1"/>
  <c r="E128" i="1"/>
  <c r="F157" i="1"/>
  <c r="G157" i="1" s="1"/>
  <c r="H157" i="1" s="1"/>
  <c r="F131" i="1"/>
  <c r="G131" i="1" s="1"/>
  <c r="H131" i="1" s="1"/>
  <c r="E131" i="1"/>
  <c r="F155" i="1"/>
  <c r="G155" i="1" s="1"/>
  <c r="H155" i="1" s="1"/>
  <c r="E155" i="1"/>
  <c r="F164" i="1"/>
  <c r="G164" i="1" s="1"/>
  <c r="H164" i="1" s="1"/>
  <c r="C136" i="1"/>
  <c r="E136" i="1" s="1"/>
  <c r="E132" i="1"/>
  <c r="F156" i="1"/>
  <c r="G156" i="1" s="1"/>
  <c r="H156" i="1" s="1"/>
  <c r="E156" i="1"/>
  <c r="C41" i="20"/>
  <c r="H80" i="10"/>
  <c r="F125" i="10"/>
  <c r="H68" i="10"/>
  <c r="B23" i="20"/>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27" i="1"/>
  <c r="G127" i="1" s="1"/>
  <c r="H127" i="1" s="1"/>
  <c r="F62" i="10"/>
  <c r="F158" i="1"/>
  <c r="G158" i="1" s="1"/>
  <c r="H158" i="1" s="1"/>
  <c r="C14" i="33"/>
  <c r="C15" i="33" s="1"/>
  <c r="F130" i="1"/>
  <c r="G130" i="1" s="1"/>
  <c r="H130"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39" i="20"/>
  <c r="G45" i="34"/>
  <c r="J45" i="34" s="1"/>
  <c r="H134" i="10"/>
  <c r="D46" i="34"/>
  <c r="L134" i="10"/>
  <c r="F46" i="34"/>
  <c r="B8" i="20"/>
  <c r="B16" i="34"/>
  <c r="F65" i="10"/>
  <c r="C24" i="34"/>
  <c r="B10" i="20"/>
  <c r="B100" i="20" s="1"/>
  <c r="B22" i="34"/>
  <c r="G10" i="20"/>
  <c r="H10" i="20" s="1"/>
  <c r="G22" i="34"/>
  <c r="J22" i="34" s="1"/>
  <c r="H22" i="34" s="1"/>
  <c r="H43" i="34"/>
  <c r="I43" i="34"/>
  <c r="I34" i="34"/>
  <c r="H34" i="34"/>
  <c r="B19" i="20"/>
  <c r="D80" i="10"/>
  <c r="F11" i="32"/>
  <c r="L65" i="10"/>
  <c r="F12" i="24"/>
  <c r="F14" i="20"/>
  <c r="E29" i="20"/>
  <c r="J110" i="10"/>
  <c r="D86" i="10"/>
  <c r="B21" i="20"/>
  <c r="D85" i="13"/>
  <c r="D77" i="13"/>
  <c r="D67" i="13"/>
  <c r="F74" i="10"/>
  <c r="F133" i="1"/>
  <c r="G133" i="1" s="1"/>
  <c r="H133" i="1" s="1"/>
  <c r="E26" i="20"/>
  <c r="B10" i="33"/>
  <c r="L62" i="10"/>
  <c r="D31" i="20"/>
  <c r="D95" i="10"/>
  <c r="D131" i="10"/>
  <c r="O137" i="10"/>
  <c r="F126" i="1"/>
  <c r="G126" i="1" s="1"/>
  <c r="H126" i="1" s="1"/>
  <c r="D26" i="20"/>
  <c r="E28" i="20"/>
  <c r="F26" i="20"/>
  <c r="D53" i="10"/>
  <c r="D59" i="10"/>
  <c r="O95" i="10"/>
  <c r="C9" i="32"/>
  <c r="C17" i="32" s="1"/>
  <c r="C11" i="32"/>
  <c r="L131" i="10"/>
  <c r="E21" i="20"/>
  <c r="D14" i="33"/>
  <c r="D15" i="33" s="1"/>
  <c r="D71" i="10"/>
  <c r="L71" i="10"/>
  <c r="D119" i="10"/>
  <c r="D149" i="10"/>
  <c r="F167" i="1"/>
  <c r="G167" i="1" s="1"/>
  <c r="H167" i="1" s="1"/>
  <c r="E20" i="20"/>
  <c r="F28" i="20"/>
  <c r="D10" i="24"/>
  <c r="D18" i="24" s="1"/>
  <c r="E34" i="11"/>
  <c r="F34" i="11" s="1"/>
  <c r="B11" i="20"/>
  <c r="B12" i="33"/>
  <c r="B10" i="32"/>
  <c r="D56" i="10"/>
  <c r="B11" i="24"/>
  <c r="B28" i="20"/>
  <c r="D107" i="10"/>
  <c r="B25" i="20"/>
  <c r="D98" i="10"/>
  <c r="L104" i="10"/>
  <c r="F27" i="20"/>
  <c r="D110" i="10"/>
  <c r="B29" i="20"/>
  <c r="G9" i="20"/>
  <c r="H9" i="20" s="1"/>
  <c r="O50" i="10"/>
  <c r="B17" i="20"/>
  <c r="D74" i="10"/>
  <c r="F15" i="20"/>
  <c r="L68" i="10"/>
  <c r="F14" i="33"/>
  <c r="F15" i="33" s="1"/>
  <c r="F131" i="10"/>
  <c r="F10" i="32"/>
  <c r="F12" i="33"/>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1" i="20"/>
  <c r="H41" i="20" s="1"/>
  <c r="O149" i="10"/>
  <c r="E9" i="20"/>
  <c r="J50" i="10"/>
  <c r="J116" i="10"/>
  <c r="E31" i="20"/>
  <c r="L125" i="10"/>
  <c r="D27" i="20"/>
  <c r="F32" i="20"/>
  <c r="D20" i="20"/>
  <c r="E12" i="33"/>
  <c r="J56" i="10"/>
  <c r="E9" i="32"/>
  <c r="E17" i="32" s="1"/>
  <c r="E10" i="33"/>
  <c r="E11" i="33" s="1"/>
  <c r="G29" i="20"/>
  <c r="H29" i="20" s="1"/>
  <c r="O110" i="10"/>
  <c r="G23" i="20"/>
  <c r="H23" i="20" s="1"/>
  <c r="O92" i="10"/>
  <c r="B20" i="20"/>
  <c r="F68" i="10"/>
  <c r="C16" i="20"/>
  <c r="J59" i="1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38" i="20"/>
  <c r="O125" i="10"/>
  <c r="D10" i="33"/>
  <c r="D11" i="33" s="1"/>
  <c r="D10" i="32"/>
  <c r="L80" i="10"/>
  <c r="H47" i="10"/>
  <c r="D11" i="20"/>
  <c r="F59" i="10"/>
  <c r="B31" i="20"/>
  <c r="L77" i="10"/>
  <c r="L74" i="10"/>
  <c r="G12" i="24"/>
  <c r="J12" i="24" s="1"/>
  <c r="C124" i="1"/>
  <c r="F166" i="1"/>
  <c r="G166" i="1" s="1"/>
  <c r="H166" i="1" s="1"/>
  <c r="C29" i="20"/>
  <c r="B11" i="32"/>
  <c r="B14" i="20"/>
  <c r="B15" i="20"/>
  <c r="H89" i="10"/>
  <c r="E41"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34" i="1"/>
  <c r="F162" i="1"/>
  <c r="G162" i="1" s="1"/>
  <c r="H162" i="1" s="1"/>
  <c r="F136" i="1"/>
  <c r="G136" i="1" s="1"/>
  <c r="H136" i="1" s="1"/>
  <c r="I12" i="33"/>
  <c r="F137" i="1"/>
  <c r="G137" i="1" s="1"/>
  <c r="H137" i="1" s="1"/>
  <c r="C101" i="20"/>
  <c r="C100" i="20"/>
  <c r="F101" i="20"/>
  <c r="F100" i="20"/>
  <c r="E101" i="20"/>
  <c r="E100" i="20"/>
  <c r="B101" i="20"/>
  <c r="D101" i="20"/>
  <c r="D100" i="20"/>
  <c r="I14" i="33"/>
  <c r="H14"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<sst xmlns="http://schemas.openxmlformats.org/spreadsheetml/2006/main" count="1260" uniqueCount="557">
  <si>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</si>
  <si>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</si>
  <si>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</si>
  <si>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</si>
  <si>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</si>
  <si>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</si>
  <si>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</si>
  <si>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</si>
  <si>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</si>
  <si>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</si>
  <si>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</si>
  <si>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</si>
  <si>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</si>
  <si>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</si>
  <si>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</si>
  <si>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</si>
  <si>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</si>
  <si>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</si>
  <si>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</si>
  <si>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</si>
  <si>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</si>
  <si>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</si>
  <si>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</si>
  <si>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</si>
  <si>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</si>
  <si>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</si>
  <si>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</si>
  <si>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</si>
  <si>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</si>
  <si>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</si>
  <si>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</si>
  <si>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</si>
  <si>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</si>
  <si>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</si>
  <si>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</si>
  <si>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</si>
  <si>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</si>
  <si>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</si>
  <si>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</si>
  <si>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</si>
  <si>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</si>
  <si>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</si>
  <si>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</si>
  <si>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</si>
  <si>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</si>
  <si>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</si>
  <si>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</si>
  <si>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</si>
  <si>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</si>
  <si>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</si>
  <si>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</si>
  <si>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</si>
  <si>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</si>
  <si>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</si>
  <si>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</si>
  <si>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</si>
  <si>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</si>
  <si>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</si>
  <si>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</si>
  <si>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</si>
  <si>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</si>
  <si>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</si>
  <si>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</si>
  <si>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</si>
  <si>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</si>
  <si>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</si>
  <si>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</si>
  <si>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</si>
  <si>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</si>
  <si>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</si>
  <si>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</si>
  <si>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</si>
  <si>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</si>
  <si>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</si>
  <si>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</si>
  <si>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</si>
  <si>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</si>
  <si>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</si>
  <si>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</si>
  <si>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</si>
  <si>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</si>
  <si>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</si>
  <si>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</si>
  <si>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</si>
  <si>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</si>
  <si>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</si>
  <si>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</si>
  <si>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</si>
  <si>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</si>
  <si>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</si>
  <si>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</si>
  <si>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</si>
  <si>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</si>
  <si>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</si>
  <si>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</si>
  <si>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</si>
  <si>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</si>
  <si>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</si>
  <si>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</si>
  <si>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</si>
  <si>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</si>
  <si>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</si>
  <si>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</si>
  <si>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</si>
  <si>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</si>
  <si>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</si>
  <si>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</si>
  <si>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</si>
  <si>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</si>
  <si>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</si>
  <si>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</si>
  <si>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</si>
  <si>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</si>
  <si>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</si>
  <si>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</si>
  <si>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</si>
  <si>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</si>
  <si>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</si>
  <si>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</si>
  <si>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</si>
  <si>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</si>
  <si>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</si>
  <si>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</si>
  <si>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</si>
  <si>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</si>
  <si>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</si>
  <si>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</si>
  <si>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</si>
  <si>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</si>
  <si>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</si>
  <si>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</si>
  <si>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</si>
  <si>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</si>
  <si>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</si>
  <si>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</si>
  <si>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</si>
  <si>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</si>
  <si>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</si>
  <si>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</si>
  <si>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</si>
  <si>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</si>
  <si>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</si>
  <si>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</si>
  <si>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</si>
  <si>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</si>
  <si>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</si>
  <si>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</si>
  <si>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</si>
  <si>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</si>
  <si>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</si>
  <si>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</si>
  <si>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</si>
  <si>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</si>
  <si>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</si>
  <si>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</si>
  <si>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</si>
  <si>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</si>
  <si>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</si>
  <si>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</si>
  <si>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</si>
  <si>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</si>
  <si>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</si>
  <si>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</si>
  <si>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</si>
  <si>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</si>
  <si>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</si>
  <si>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</si>
  <si>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</si>
  <si>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</si>
  <si>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</si>
  <si>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</si>
  <si>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</si>
  <si>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</si>
  <si>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</si>
  <si>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</si>
  <si>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</si>
  <si>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</si>
  <si>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</si>
  <si>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</si>
  <si>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</si>
  <si>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</si>
  <si>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</si>
  <si>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</si>
  <si>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</si>
  <si>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</si>
  <si>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</si>
  <si>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</si>
  <si>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</si>
  <si>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</si>
  <si>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</si>
  <si>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</si>
  <si>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</si>
  <si>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</si>
  <si>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</si>
  <si>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</si>
  <si>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</si>
  <si>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</si>
  <si>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</si>
  <si>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</si>
  <si>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</si>
  <si>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</si>
  <si>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</si>
  <si>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</si>
  <si>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</si>
  <si>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</si>
  <si>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</si>
  <si>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</si>
  <si>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</si>
  <si>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</si>
  <si>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</si>
  <si>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</si>
  <si>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</si>
  <si>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</si>
  <si>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</si>
  <si>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</si>
  <si>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</si>
  <si>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</si>
  <si>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</si>
  <si>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</si>
  <si>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</si>
  <si>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</si>
  <si>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</si>
  <si>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</si>
  <si>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</si>
  <si>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</si>
  <si>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</si>
  <si>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</si>
  <si>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</si>
  <si>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</si>
  <si>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</si>
  <si>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</si>
  <si>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</si>
  <si>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</si>
  <si>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</si>
  <si>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</si>
  <si>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</si>
  <si>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</si>
  <si>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</si>
  <si>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</si>
  <si>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</si>
  <si>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</si>
  <si>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</si>
  <si>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</si>
  <si>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</si>
  <si>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</si>
  <si>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</si>
  <si>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</si>
  <si>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</si>
  <si>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</si>
  <si>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</si>
  <si>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</si>
  <si>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</si>
  <si>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</si>
  <si>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</si>
  <si>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</si>
  <si>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</si>
  <si>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</si>
  <si>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</si>
  <si>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</si>
  <si>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</si>
  <si>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</si>
  <si>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</si>
  <si>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</si>
  <si>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</si>
  <si>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</si>
  <si>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</si>
  <si>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</si>
  <si>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</si>
  <si>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</si>
  <si>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</si>
  <si>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</si>
  <si>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</si>
  <si>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</si>
  <si>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</si>
  <si>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</si>
  <si>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</si>
  <si>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</si>
  <si>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</si>
  <si>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</si>
  <si>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</si>
  <si>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</si>
  <si>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</si>
  <si>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</si>
  <si>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</si>
  <si>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</si>
  <si>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</si>
  <si>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</si>
  <si>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</si>
  <si>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</si>
  <si>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</si>
  <si>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</si>
  <si>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</si>
  <si>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</si>
  <si>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</si>
  <si>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</si>
  <si>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</si>
  <si>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</si>
  <si>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</si>
  <si>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</si>
  <si>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</si>
  <si>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</si>
  <si>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</si>
  <si>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</si>
  <si>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</si>
  <si>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</si>
  <si>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</si>
  <si>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</si>
  <si>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</si>
  <si>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</si>
  <si>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</si>
  <si>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</si>
  <si>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</si>
  <si>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</si>
  <si>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</si>
  <si>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</si>
  <si>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</si>
  <si>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</si>
  <si>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</si>
  <si>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</si>
  <si>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</si>
  <si>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</si>
  <si>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</si>
  <si>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</si>
  <si>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</si>
  <si>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</si>
  <si>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</si>
  <si>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</si>
  <si>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</si>
  <si>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</si>
  <si>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</si>
  <si>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</si>
  <si>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</si>
  <si>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</si>
  <si>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</si>
  <si>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</si>
  <si>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</si>
  <si>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</si>
  <si>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</si>
  <si>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</si>
  <si>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</si>
  <si>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</si>
  <si>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</si>
  <si>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</si>
  <si>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</si>
  <si>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</si>
  <si>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</si>
  <si>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</si>
  <si>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</si>
  <si>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</si>
  <si>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</si>
  <si>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</si>
  <si>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</si>
  <si>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</si>
  <si>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</si>
  <si>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</si>
  <si>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</si>
  <si>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</si>
  <si>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</si>
  <si>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</si>
  <si>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</si>
  <si>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</si>
  <si>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</si>
  <si>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</si>
  <si>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</si>
  <si>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</si>
  <si>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</si>
  <si>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</si>
  <si>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</si>
  <si>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</si>
  <si>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</si>
  <si>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</si>
  <si>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</si>
  <si>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</si>
  <si>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</si>
  <si>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</si>
  <si>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</si>
  <si>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</si>
  <si>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</si>
  <si>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</si>
  <si>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</si>
  <si>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</si>
  <si>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</si>
  <si>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</si>
  <si>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</si>
  <si>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</si>
  <si>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</si>
  <si>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</si>
  <si>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</si>
  <si>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</si>
  <si>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</si>
  <si>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</si>
  <si>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</si>
  <si>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</si>
  <si>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</si>
  <si>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</si>
  <si>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</si>
  <si>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</si>
  <si>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</si>
  <si>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</si>
  <si>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</si>
  <si>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</si>
  <si>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</si>
  <si>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</si>
  <si>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</si>
  <si>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</si>
  <si>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</si>
  <si>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</si>
  <si>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</si>
  <si>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</si>
  <si>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</si>
  <si>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</si>
  <si>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</si>
  <si>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</si>
  <si>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</si>
  <si>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</si>
  <si>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</si>
  <si>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</si>
  <si>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</si>
  <si>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</si>
  <si>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</si>
  <si>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</si>
  <si>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</si>
  <si>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</si>
  <si>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</si>
  <si>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</si>
  <si>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</si>
  <si>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</si>
  <si>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</si>
  <si>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</si>
  <si>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</si>
  <si>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</si>
  <si>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</si>
  <si>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</si>
  <si>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</si>
  <si>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</si>
  <si>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</si>
  <si>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</si>
  <si>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</si>
  <si>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</si>
  <si>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</si>
  <si>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</si>
  <si>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</si>
  <si>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</si>
  <si>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</si>
  <si>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</si>
  <si>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</si>
  <si>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</si>
  <si>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</si>
  <si>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</si>
  <si>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</si>
  <si>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</si>
  <si>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</si>
  <si>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</si>
  <si>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</si>
  <si>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</si>
  <si>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</si>
  <si>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</si>
  <si>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</si>
  <si>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</si>
  <si>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</si>
  <si>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</si>
  <si>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</si>
  <si>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</si>
  <si>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</si>
  <si>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</si>
  <si>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</si>
  <si>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</si>
  <si>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</si>
  <si>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</si>
  <si>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</si>
  <si>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</si>
  <si>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</si>
  <si>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</si>
  <si>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</si>
  <si>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</si>
  <si>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</si>
  <si>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</si>
  <si>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</si>
  <si>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</si>
  <si>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</si>
  <si>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</si>
  <si>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 xml:space="preserve">Aftalt løn kr. 36.000,- pr. Måned </t>
  </si>
  <si>
    <t>Aftalt løn kr. 37.500,- pr. måned</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</si>
  <si>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</si>
  <si>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</si>
  <si>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</si>
  <si>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</si>
  <si>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</si>
  <si>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</si>
  <si>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</si>
  <si>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</si>
  <si>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</si>
  <si>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</si>
  <si>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</si>
  <si>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</si>
  <si>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</si>
  <si>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</si>
  <si>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</si>
  <si>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</si>
  <si>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</si>
  <si>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</si>
  <si>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</si>
  <si>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</si>
  <si>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</si>
  <si>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</si>
  <si>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</si>
  <si>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</si>
  <si>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</si>
  <si>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</si>
  <si>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</si>
  <si>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</si>
  <si>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</si>
  <si>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</si>
  <si>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</si>
  <si>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</si>
  <si>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Gældende fra 1. januar 2025</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</si>
  <si>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</si>
  <si>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</si>
  <si>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</si>
  <si>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</si>
  <si>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</si>
  <si>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</si>
  <si>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</si>
  <si>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</si>
  <si>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01/04/25</t>
  </si>
  <si>
    <t>Gældende fra 1. april 2025</t>
  </si>
  <si>
    <t>Denne løntabel er gældende til og med d. 31 oktober 2025</t>
  </si>
  <si>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</si>
  <si>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</si>
  <si>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</si>
  <si>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</si>
  <si>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</si>
  <si>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</si>
  <si>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</si>
  <si>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</si>
  <si>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</si>
  <si>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</si>
  <si>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</si>
  <si>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</si>
  <si>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</si>
  <si>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Skalatrinslønnen nærmest herunder på skalatrin 40: kr. 35.659,83 pr. måned.</t>
  </si>
  <si>
    <t>Pensionstilsvaret bliver 15% af den pensionsgivende løn på skalatrin 40 = 15% af kr. 35.659,83 pr. måned = kr. 5.348,97</t>
  </si>
  <si>
    <t>Skalatrinslønnen nærmest herunder på skalatrin 42: kr. 37.163,33 pr. måned.</t>
  </si>
  <si>
    <t>Pensionstilsvaret bliver 15% af den pensionsgivende løn på skalatrin 42 = 15% af kr. 37.163,33 pr. måned = kr. 5.574,50</t>
  </si>
  <si>
    <t>OK-2024 tillæg (tidligere OK-18 tillæg)</t>
  </si>
  <si>
    <t>OK24-tillæg</t>
  </si>
  <si>
    <t>For lærere og bh.kl.ledere med tjenestemandspension er de "pensionsgivende løndele" ikke nødvendigvis pensionsgivende, bortset fra soucheftillæg, OK13-tillæg og OK24-tillæg.</t>
  </si>
  <si>
    <t>De enkelte overenskomstændringer er omtalt i særskilt nyhed.</t>
  </si>
  <si>
    <t>Ny reguleringsprocent: 23,3095</t>
  </si>
  <si>
    <t>I alt 18,07%</t>
  </si>
  <si>
    <t>I alt 18,07%*</t>
  </si>
  <si>
    <t>Herudover er der d. 1. april 2025 flere overenskomstændringer. Ændringerne vedrører skolens øverste leder, leder ved kombinerede skoler, lærere og børnehaveklasseledere, ansatte på gymnasieskoler og HF-Steiner, pædagogisk personale under BUPL-FOA overenskomst samt ansatte under 3F og HK-Privat overenskomst.</t>
  </si>
  <si>
    <t>Løn - 2. lønnede praktikperiode</t>
  </si>
  <si>
    <t>Løn - 1. lønnede praktikperiode</t>
  </si>
  <si>
    <t>Udgivet d. 7. marts 2025</t>
  </si>
  <si>
    <t>01-04-2025</t>
  </si>
  <si>
    <t>Lærere, pædagogiske ledere og rektorer ved gymnasieskolen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</si>
</sst>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4">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092">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0" fontId="15" fillId="4" borderId="56" xfId="0" applyFont="1" applyFill="1" applyBorder="1" applyAlignment="1">
      <alignment horizontal="left"/>
    </xf>
    <xf numFmtId="0" fontId="15" fillId="4" borderId="48" xfId="0" applyFont="1" applyFill="1" applyBorder="1" applyAlignment="1">
      <alignment horizontal="left"/>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0" fontId="15" fillId="4" borderId="13" xfId="0" applyFont="1" applyFill="1" applyBorder="1" applyAlignment="1">
      <alignment horizontal="center" wrapText="1"/>
    </xf>
    <xf numFmtId="0" fontId="15" fillId="4" borderId="14" xfId="0" applyFont="1" applyFill="1" applyBorder="1" applyAlignment="1">
      <alignment horizontal="center" wrapText="1"/>
    </xf>
    <xf numFmtId="0" fontId="15" fillId="4" borderId="15" xfId="0" applyFont="1" applyFill="1" applyBorder="1" applyAlignment="1">
      <alignment horizontal="center" wrapText="1"/>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4" xfId="0" applyFont="1" applyFill="1" applyBorder="1"/>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18" fillId="0" borderId="0" xfId="0" applyFont="1" applyAlignment="1">
      <alignment horizontal="left"/>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14" fontId="13" fillId="0" borderId="9" xfId="0" applyNumberFormat="1" applyFont="1" applyBorder="1" applyAlignment="1">
      <alignment horizontal="center"/>
    </xf>
    <xf numFmtId="0" fontId="13" fillId="0" borderId="11" xfId="0" applyFont="1" applyBorder="1"/>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7" fillId="0" borderId="0" xfId="0" applyFont="1" applyAlignment="1">
      <alignment horizontal="left"/>
    </xf>
    <xf numFmtId="0" fontId="15" fillId="3" borderId="48" xfId="0" applyFont="1" applyFill="1" applyBorder="1" applyAlignment="1">
      <alignment horizontal="center" vertical="center"/>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xf>
    <xf numFmtId="0" fontId="62" fillId="0" borderId="0" xfId="0" applyFont="1" applyAlignment="1">
      <alignment horizontal="left" vertical="justify"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0" fontId="14" fillId="4" borderId="23" xfId="0" applyFont="1" applyFill="1" applyBorder="1" applyAlignment="1">
      <alignment horizontal="center" vertical="center" wrapText="1"/>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0" fontId="15" fillId="4" borderId="44"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15" fillId="4" borderId="27" xfId="0" applyFont="1" applyFill="1" applyBorder="1" applyAlignment="1">
      <alignment horizontal="left" vertical="center" wrapText="1"/>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4" fillId="4" borderId="22" xfId="0"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6" xfId="0" applyNumberFormat="1" applyFont="1" applyBorder="1" applyAlignment="1">
      <alignment horizontal="center"/>
    </xf>
    <xf numFmtId="49" fontId="14" fillId="4" borderId="19" xfId="0" applyNumberFormat="1" applyFont="1" applyFill="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4" fontId="15" fillId="0" borderId="34" xfId="0" applyNumberFormat="1" applyFont="1" applyBorder="1" applyAlignment="1">
      <alignment horizontal="center"/>
    </xf>
    <xf numFmtId="4" fontId="15" fillId="0" borderId="45" xfId="0" applyNumberFormat="1" applyFont="1" applyBorder="1" applyAlignment="1">
      <alignment horizont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1" fillId="4" borderId="53" xfId="0" applyFont="1" applyFill="1" applyBorder="1" applyAlignment="1">
      <alignment horizontal="center" vertic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2" xfId="0" applyNumberFormat="1" applyFont="1" applyBorder="1" applyAlignment="1">
      <alignment horizontal="center"/>
    </xf>
    <xf numFmtId="4" fontId="15" fillId="0" borderId="14"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4" fontId="15" fillId="0" borderId="48"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4" fontId="15" fillId="3" borderId="56" xfId="0" applyNumberFormat="1" applyFont="1" applyFill="1" applyBorder="1" applyAlignment="1">
      <alignment horizontal="center"/>
    </xf>
    <xf numFmtId="4" fontId="15" fillId="3" borderId="36" xfId="0" applyNumberFormat="1" applyFont="1" applyFill="1" applyBorder="1" applyAlignment="1">
      <alignment horizontal="center"/>
    </xf>
    <xf numFmtId="14" fontId="34" fillId="6" borderId="61" xfId="0" applyNumberFormat="1" applyFont="1" applyFill="1" applyBorder="1" applyAlignment="1">
      <alignment horizontal="center" vertical="center"/>
    </xf>
    <xf numFmtId="0" fontId="15" fillId="4" borderId="44" xfId="0" applyFont="1" applyFill="1" applyBorder="1" applyAlignment="1">
      <alignment horizontal="left" vertical="center"/>
    </xf>
    <xf numFmtId="0" fontId="15" fillId="4" borderId="47" xfId="0" applyFont="1" applyFill="1" applyBorder="1" applyAlignment="1">
      <alignment horizontal="left" vertic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15" fillId="4" borderId="24"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4" fontId="78" fillId="0" borderId="12" xfId="0" applyNumberFormat="1" applyFont="1" applyBorder="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0" fontId="18" fillId="4" borderId="21" xfId="0"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5" fillId="4" borderId="27" xfId="0" applyFont="1" applyFill="1" applyBorder="1" applyAlignment="1">
      <alignment horizontal="left" vertical="center" wrapText="1" shrinkToFit="1"/>
    </xf>
    <xf numFmtId="164" fontId="40" fillId="0" borderId="43"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1" defaultTableStyle="TableStyleMedium2" defaultPivotStyle="PivotStyleLight16">
    <tableStyle name="Invisible" pivot="0" table="0" count="0" xr9:uid="{F6633836-4442-4960-8BF5-9497D6E27F9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36988</xdr:colOff>
      <xdr:row>19</xdr:row>
      <xdr:rowOff>79671</xdr:rowOff>
    </xdr:from>
    <xdr:to>
      <xdr:col>5</xdr:col>
      <xdr:colOff>2540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4</xdr:col>
      <xdr:colOff>114300</xdr:colOff>
      <xdr:row>23</xdr:row>
      <xdr:rowOff>114300</xdr:rowOff>
    </xdr:from>
    <xdr:to>
      <xdr:col>5</xdr:col>
      <xdr:colOff>2540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3"/>
        <a:stretch>
          <a:fillRect/>
        </a:stretch>
      </xdr:blipFill>
      <xdr:spPr>
        <a:xfrm>
          <a:off x="3581400" y="6896100"/>
          <a:ext cx="1320800" cy="419100"/>
        </a:xfrm>
        <a:prstGeom prst="rect">
          <a:avLst/>
        </a:prstGeom>
      </xdr:spPr>
    </xdr:pic>
    <xdr:clientData/>
  </xdr:twoCellAnchor>
  <xdr:twoCellAnchor editAs="oneCell">
    <xdr:from>
      <xdr:col>4</xdr:col>
      <xdr:colOff>20320</xdr:colOff>
      <xdr:row>14</xdr:row>
      <xdr:rowOff>132080</xdr:rowOff>
    </xdr:from>
    <xdr:to>
      <xdr:col>5</xdr:col>
      <xdr:colOff>0</xdr:colOff>
      <xdr:row>14</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4"/>
        <a:stretch>
          <a:fillRect/>
        </a:stretch>
      </xdr:blipFill>
      <xdr:spPr>
        <a:xfrm>
          <a:off x="3495040" y="4409440"/>
          <a:ext cx="1442720" cy="399117"/>
        </a:xfrm>
        <a:prstGeom prst="rect">
          <a:avLst/>
        </a:prstGeom>
      </xdr:spPr>
    </xdr:pic>
    <xdr:clientData/>
  </xdr:twoCellAnchor>
  <xdr:twoCellAnchor editAs="oneCell">
    <xdr:from>
      <xdr:col>1</xdr:col>
      <xdr:colOff>981456</xdr:colOff>
      <xdr:row>16</xdr:row>
      <xdr:rowOff>115824</xdr:rowOff>
    </xdr:from>
    <xdr:to>
      <xdr:col>5</xdr:col>
      <xdr:colOff>1934</xdr:colOff>
      <xdr:row>16</xdr:row>
      <xdr:rowOff>384048</xdr:rowOff>
    </xdr:to>
    <xdr:pic>
      <xdr:nvPicPr>
        <xdr:cNvPr id="2" name="Billede 1">
          <a:extLst>
            <a:ext uri="{FF2B5EF4-FFF2-40B4-BE49-F238E27FC236}">
              <a16:creationId xmlns:a16="http://schemas.microsoft.com/office/drawing/2014/main" id="{16A52F2A-5742-4917-A15C-784CCA0D89D4}"/>
            </a:ext>
          </a:extLst>
        </xdr:cNvPr>
        <xdr:cNvPicPr>
          <a:picLocks noChangeAspect="1"/>
        </xdr:cNvPicPr>
      </xdr:nvPicPr>
      <xdr:blipFill>
        <a:blip xmlns:r="http://schemas.openxmlformats.org/officeDocument/2006/relationships" r:embed="rId5"/>
        <a:stretch>
          <a:fillRect/>
        </a:stretch>
      </xdr:blipFill>
      <xdr:spPr>
        <a:xfrm>
          <a:off x="2980944" y="6120384"/>
          <a:ext cx="1513742" cy="268224"/>
        </a:xfrm>
        <a:prstGeom prst="rect">
          <a:avLst/>
        </a:prstGeom>
      </xdr:spPr>
    </xdr:pic>
    <xdr:clientData/>
  </xdr:twoCellAnchor>
  <xdr:twoCellAnchor editAs="oneCell">
    <xdr:from>
      <xdr:col>5</xdr:col>
      <xdr:colOff>6096</xdr:colOff>
      <xdr:row>14</xdr:row>
      <xdr:rowOff>316992</xdr:rowOff>
    </xdr:from>
    <xdr:to>
      <xdr:col>9</xdr:col>
      <xdr:colOff>10174</xdr:colOff>
      <xdr:row>15</xdr:row>
      <xdr:rowOff>44196</xdr:rowOff>
    </xdr:to>
    <xdr:pic>
      <xdr:nvPicPr>
        <xdr:cNvPr id="6" name="Billede 5">
          <a:extLst>
            <a:ext uri="{FF2B5EF4-FFF2-40B4-BE49-F238E27FC236}">
              <a16:creationId xmlns:a16="http://schemas.microsoft.com/office/drawing/2014/main" id="{5B9340DC-023B-40C4-8371-F5073220D86C}"/>
            </a:ext>
          </a:extLst>
        </xdr:cNvPr>
        <xdr:cNvPicPr>
          <a:picLocks noChangeAspect="1"/>
        </xdr:cNvPicPr>
      </xdr:nvPicPr>
      <xdr:blipFill>
        <a:blip xmlns:r="http://schemas.openxmlformats.org/officeDocument/2006/relationships" r:embed="rId5"/>
        <a:stretch>
          <a:fillRect/>
        </a:stretch>
      </xdr:blipFill>
      <xdr:spPr>
        <a:xfrm>
          <a:off x="4498848" y="5029200"/>
          <a:ext cx="2107198" cy="3733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topLeftCell="A9" zoomScale="125" workbookViewId="0">
      <selection activeCell="A12" sqref="A12:I12"/>
    </sheetView>
  </sheetViews>
  <sheetFormatPr defaultColWidth="8.81640625" defaultRowHeight="14.5"/>
  <cols>
    <col min="1" max="1" width="29.08984375" style="34" customWidth="1"/>
    <col min="2" max="2" width="16.36328125" customWidth="1"/>
    <col min="3" max="3" width="24.36328125" hidden="1" customWidth="1"/>
    <col min="4" max="4" width="9.6328125" hidden="1" customWidth="1"/>
    <col min="5" max="5" width="20" bestFit="1" customWidth="1"/>
    <col min="6" max="6" width="4.6328125" customWidth="1"/>
    <col min="7" max="7" width="8.81640625" customWidth="1"/>
    <col min="8" max="8" width="10.6328125" customWidth="1"/>
    <col min="9" max="9" width="6.453125" customWidth="1"/>
  </cols>
  <sheetData>
    <row r="1" spans="1:21" ht="35" customHeight="1">
      <c r="A1" s="987"/>
      <c r="B1" s="987"/>
      <c r="C1" s="987"/>
      <c r="D1" s="987"/>
      <c r="E1" s="987"/>
      <c r="F1" s="987"/>
      <c r="G1" s="987"/>
      <c r="H1" s="987"/>
      <c r="I1" s="987"/>
    </row>
    <row r="2" spans="1:21" ht="30" customHeight="1">
      <c r="A2" s="973"/>
      <c r="B2" s="973"/>
      <c r="C2" s="973"/>
      <c r="D2" s="973"/>
      <c r="E2" s="973"/>
      <c r="F2" s="973"/>
      <c r="G2" s="973"/>
      <c r="H2" s="973"/>
      <c r="I2" s="973"/>
    </row>
    <row r="3" spans="1:21" ht="37" customHeight="1">
      <c r="A3" s="987" t="s">
        <v>82</v>
      </c>
      <c r="B3" s="987"/>
      <c r="C3" s="987"/>
      <c r="D3" s="987"/>
      <c r="E3" s="987"/>
      <c r="F3" s="987"/>
      <c r="G3" s="987"/>
      <c r="H3" s="987"/>
      <c r="I3" s="987"/>
      <c r="M3" s="985"/>
      <c r="N3" s="986"/>
      <c r="O3" s="986"/>
      <c r="P3" s="986"/>
      <c r="Q3" s="986"/>
      <c r="R3" s="986"/>
      <c r="S3" s="986"/>
      <c r="T3" s="986"/>
      <c r="U3" s="986"/>
    </row>
    <row r="4" spans="1:21" ht="26" customHeight="1">
      <c r="A4" s="987" t="s">
        <v>380</v>
      </c>
      <c r="B4" s="987"/>
      <c r="C4" s="987"/>
      <c r="D4" s="987"/>
      <c r="E4" s="987"/>
      <c r="F4" s="987"/>
      <c r="G4" s="987"/>
      <c r="H4" s="987"/>
      <c r="I4" s="987"/>
    </row>
    <row r="5" spans="1:21" s="31" customFormat="1" ht="14" customHeight="1">
      <c r="A5" s="973"/>
      <c r="B5" s="973"/>
      <c r="C5" s="973"/>
      <c r="D5" s="973"/>
      <c r="E5" s="973"/>
      <c r="F5" s="973"/>
      <c r="G5" s="973"/>
      <c r="H5" s="973"/>
      <c r="I5" s="973"/>
    </row>
    <row r="6" spans="1:21" s="31" customFormat="1" ht="21" customHeight="1">
      <c r="A6" s="988" t="s">
        <v>525</v>
      </c>
      <c r="B6" s="988"/>
      <c r="C6" s="988"/>
      <c r="D6" s="988"/>
      <c r="E6" s="988"/>
      <c r="F6" s="988"/>
      <c r="G6" s="988"/>
      <c r="H6" s="988"/>
      <c r="I6" s="988"/>
    </row>
    <row r="7" spans="1:21" ht="18" customHeight="1">
      <c r="A7" s="975" t="s">
        <v>554</v>
      </c>
      <c r="B7" s="975"/>
      <c r="C7" s="975"/>
      <c r="D7" s="975"/>
      <c r="E7" s="975"/>
      <c r="F7" s="975"/>
      <c r="G7" s="975"/>
      <c r="H7" s="975"/>
      <c r="I7" s="975"/>
    </row>
    <row r="8" spans="1:21" s="31" customFormat="1" ht="29" customHeight="1">
      <c r="A8" s="989" t="s">
        <v>526</v>
      </c>
      <c r="B8" s="989"/>
      <c r="C8" s="989"/>
      <c r="D8" s="989"/>
      <c r="E8" s="989"/>
      <c r="F8" s="989"/>
      <c r="G8" s="989"/>
      <c r="H8" s="989"/>
      <c r="I8" s="989"/>
    </row>
    <row r="9" spans="1:21" ht="18" customHeight="1">
      <c r="A9" s="975"/>
      <c r="B9" s="975"/>
      <c r="C9" s="975"/>
      <c r="D9" s="975"/>
      <c r="E9" s="975"/>
      <c r="F9" s="975"/>
      <c r="G9" s="975"/>
      <c r="H9" s="975"/>
      <c r="I9" s="975"/>
    </row>
    <row r="10" spans="1:21" ht="20" customHeight="1">
      <c r="A10" s="991" t="s">
        <v>483</v>
      </c>
      <c r="B10" s="991"/>
      <c r="C10" s="991"/>
      <c r="D10" s="991"/>
      <c r="E10" s="991"/>
      <c r="F10" s="991"/>
      <c r="G10" s="991"/>
      <c r="H10" s="991"/>
      <c r="I10" s="991"/>
    </row>
    <row r="11" spans="1:21" ht="20" customHeight="1">
      <c r="A11" s="971" t="s">
        <v>548</v>
      </c>
      <c r="B11" s="945"/>
      <c r="C11" s="945"/>
      <c r="D11" s="945"/>
      <c r="E11" s="945"/>
      <c r="F11" s="945"/>
      <c r="G11" s="945"/>
      <c r="H11" s="945"/>
      <c r="I11" s="945"/>
    </row>
    <row r="12" spans="1:21" ht="63" customHeight="1">
      <c r="A12" s="990" t="s">
        <v>551</v>
      </c>
      <c r="B12" s="990"/>
      <c r="C12" s="990"/>
      <c r="D12" s="990"/>
      <c r="E12" s="990"/>
      <c r="F12" s="990"/>
      <c r="G12" s="990"/>
      <c r="H12" s="990"/>
      <c r="I12" s="990"/>
    </row>
    <row r="13" spans="1:21" ht="20" customHeight="1">
      <c r="A13" s="990" t="s">
        <v>547</v>
      </c>
      <c r="B13" s="990"/>
      <c r="C13" s="990"/>
      <c r="D13" s="990"/>
      <c r="E13" s="990"/>
      <c r="F13" s="990"/>
      <c r="G13" s="990"/>
      <c r="H13" s="990"/>
      <c r="I13" s="990"/>
    </row>
    <row r="14" spans="1:21" ht="21" customHeight="1">
      <c r="A14" s="992"/>
      <c r="B14" s="992"/>
      <c r="C14" s="992"/>
      <c r="D14" s="992"/>
      <c r="E14" s="992"/>
      <c r="F14" s="992"/>
      <c r="G14" s="992"/>
      <c r="H14" s="992"/>
      <c r="I14" s="992"/>
    </row>
    <row r="15" spans="1:21" ht="51" customHeight="1">
      <c r="A15" s="976" t="s">
        <v>85</v>
      </c>
      <c r="B15" s="976"/>
      <c r="C15" s="976"/>
      <c r="D15" s="976"/>
      <c r="E15" s="32"/>
      <c r="F15" s="980" t="s">
        <v>306</v>
      </c>
      <c r="G15" s="980"/>
      <c r="H15" s="980"/>
      <c r="I15" s="980"/>
    </row>
    <row r="16" spans="1:21" ht="51" customHeight="1">
      <c r="A16" s="976" t="s">
        <v>83</v>
      </c>
      <c r="B16" s="976"/>
      <c r="C16" s="976"/>
      <c r="D16" s="976"/>
      <c r="E16" s="32"/>
      <c r="F16" s="974" t="s">
        <v>307</v>
      </c>
      <c r="G16" s="974"/>
      <c r="H16" s="974"/>
      <c r="I16" s="974"/>
    </row>
    <row r="17" spans="1:9" ht="48" customHeight="1">
      <c r="A17" s="976" t="s">
        <v>300</v>
      </c>
      <c r="B17" s="976"/>
      <c r="C17" s="976"/>
      <c r="D17" s="976"/>
      <c r="E17" s="977"/>
      <c r="F17" s="974" t="s">
        <v>374</v>
      </c>
      <c r="G17" s="974"/>
      <c r="H17" s="974"/>
      <c r="I17" s="974"/>
    </row>
    <row r="18" spans="1:9" ht="2" hidden="1" customHeight="1">
      <c r="A18" s="976"/>
      <c r="B18" s="976"/>
      <c r="C18" s="976"/>
      <c r="D18" s="976"/>
      <c r="E18" s="977"/>
      <c r="F18" s="974" t="s">
        <v>431</v>
      </c>
      <c r="G18" s="974"/>
      <c r="H18" s="974"/>
      <c r="I18" s="974"/>
    </row>
    <row r="19" spans="1:9" ht="13" hidden="1" customHeight="1">
      <c r="A19" s="976"/>
      <c r="B19" s="976"/>
      <c r="C19" s="976"/>
      <c r="D19" s="976"/>
      <c r="E19" s="977"/>
      <c r="F19" s="974"/>
      <c r="G19" s="974"/>
      <c r="H19" s="974"/>
      <c r="I19" s="974"/>
    </row>
    <row r="20" spans="1:9" ht="50" customHeight="1">
      <c r="A20" s="978" t="s">
        <v>84</v>
      </c>
      <c r="B20" s="978"/>
      <c r="C20" s="38"/>
      <c r="D20" s="38"/>
      <c r="E20" s="977"/>
      <c r="F20" s="974"/>
      <c r="G20" s="974"/>
      <c r="H20" s="974"/>
      <c r="I20" s="974"/>
    </row>
    <row r="21" spans="1:9" ht="2" hidden="1" customHeight="1">
      <c r="A21" s="978"/>
      <c r="B21" s="978"/>
      <c r="C21" s="38"/>
      <c r="D21" s="38"/>
      <c r="E21" s="977"/>
      <c r="F21" s="974"/>
      <c r="G21" s="974"/>
      <c r="H21" s="974"/>
      <c r="I21" s="974"/>
    </row>
    <row r="22" spans="1:9" ht="10" hidden="1" customHeight="1">
      <c r="A22" s="978"/>
      <c r="B22" s="978"/>
      <c r="C22" s="38"/>
      <c r="D22" s="38"/>
      <c r="E22" s="977"/>
      <c r="F22" s="974"/>
      <c r="G22" s="974"/>
      <c r="H22" s="974"/>
      <c r="I22" s="974"/>
    </row>
    <row r="23" spans="1:9" ht="1" hidden="1" customHeight="1">
      <c r="A23" s="978"/>
      <c r="B23" s="978"/>
      <c r="C23" s="38"/>
      <c r="D23" s="38"/>
      <c r="E23" s="977"/>
      <c r="F23" s="974" t="s">
        <v>308</v>
      </c>
      <c r="G23" s="974"/>
      <c r="H23" s="974"/>
      <c r="I23" s="974"/>
    </row>
    <row r="24" spans="1:9" ht="51" customHeight="1">
      <c r="A24" s="845" t="s">
        <v>432</v>
      </c>
      <c r="B24" s="845"/>
      <c r="C24" s="845"/>
      <c r="D24" s="845"/>
      <c r="E24" s="845"/>
      <c r="F24" s="974" t="s">
        <v>478</v>
      </c>
      <c r="G24" s="974"/>
      <c r="H24" s="974"/>
      <c r="I24" s="974"/>
    </row>
    <row r="25" spans="1:9" ht="15" customHeight="1">
      <c r="A25" s="843"/>
      <c r="B25" s="843"/>
      <c r="C25" s="843"/>
      <c r="D25" s="843"/>
      <c r="E25" s="843"/>
    </row>
    <row r="26" spans="1:9" ht="46" customHeight="1">
      <c r="A26" s="979" t="s">
        <v>130</v>
      </c>
      <c r="B26" s="979"/>
      <c r="C26" s="979"/>
      <c r="D26" s="979"/>
      <c r="E26" s="979"/>
      <c r="F26" s="979"/>
      <c r="G26" s="979"/>
      <c r="H26" s="979"/>
      <c r="I26" s="979"/>
    </row>
    <row r="27" spans="1:9" ht="46" customHeight="1">
      <c r="A27" s="571"/>
      <c r="B27" s="571"/>
      <c r="C27" s="571"/>
      <c r="D27" s="571"/>
      <c r="E27" s="571"/>
      <c r="F27" s="844"/>
      <c r="G27" s="844"/>
      <c r="H27" s="844"/>
      <c r="I27" s="844"/>
    </row>
    <row r="28" spans="1:9" ht="85" customHeight="1">
      <c r="A28" s="973"/>
      <c r="B28" s="973"/>
      <c r="C28" s="973"/>
      <c r="D28" s="973"/>
      <c r="E28" s="15"/>
    </row>
    <row r="29" spans="1:9" ht="13" customHeight="1">
      <c r="B29" s="981"/>
      <c r="C29" s="981"/>
      <c r="D29" s="981"/>
      <c r="E29" s="15"/>
    </row>
    <row r="30" spans="1:9">
      <c r="A30" s="35"/>
      <c r="B30" s="14"/>
      <c r="C30" s="14"/>
      <c r="D30" s="14"/>
      <c r="E30" s="14"/>
    </row>
    <row r="31" spans="1:9">
      <c r="A31" s="973"/>
      <c r="B31" s="973"/>
      <c r="C31" s="973"/>
      <c r="D31" s="973"/>
      <c r="E31" s="15"/>
      <c r="F31" s="570"/>
      <c r="G31" s="570"/>
      <c r="H31" s="570"/>
      <c r="I31" s="570"/>
    </row>
    <row r="32" spans="1:9">
      <c r="A32" s="570"/>
      <c r="B32" s="570"/>
      <c r="C32" s="570"/>
      <c r="D32" s="570"/>
      <c r="E32" s="570"/>
    </row>
    <row r="33" spans="1:9">
      <c r="A33" s="973"/>
      <c r="B33" s="973"/>
      <c r="C33" s="973"/>
      <c r="D33" s="973"/>
      <c r="E33" s="15"/>
    </row>
    <row r="34" spans="1:9">
      <c r="A34" s="973"/>
      <c r="B34" s="973"/>
      <c r="C34" s="973"/>
      <c r="D34" s="973"/>
      <c r="E34" s="15"/>
      <c r="H34" s="973"/>
      <c r="I34" s="973"/>
    </row>
    <row r="35" spans="1:9">
      <c r="A35" s="973"/>
      <c r="B35" s="973"/>
      <c r="C35" s="973"/>
      <c r="D35" s="973"/>
      <c r="E35" s="15"/>
      <c r="H35" s="973"/>
      <c r="I35" s="973"/>
    </row>
    <row r="36" spans="1:9">
      <c r="A36" s="973"/>
      <c r="B36" s="973"/>
      <c r="C36" s="973"/>
      <c r="D36" s="973"/>
      <c r="E36" s="15"/>
      <c r="H36" s="973"/>
      <c r="I36" s="973"/>
    </row>
    <row r="37" spans="1:9">
      <c r="A37" s="973"/>
      <c r="B37" s="973"/>
      <c r="C37" s="973"/>
      <c r="D37" s="973"/>
      <c r="E37" s="15"/>
      <c r="H37" s="973"/>
      <c r="I37" s="973"/>
    </row>
    <row r="38" spans="1:9">
      <c r="A38" s="973"/>
      <c r="B38" s="973"/>
      <c r="C38" s="973"/>
      <c r="D38" s="973"/>
      <c r="E38" s="15"/>
      <c r="H38" s="973"/>
      <c r="I38" s="973"/>
    </row>
    <row r="39" spans="1:9">
      <c r="A39" s="973"/>
      <c r="B39" s="973"/>
      <c r="C39" s="973"/>
      <c r="D39" s="973"/>
      <c r="E39" s="15"/>
      <c r="H39" s="973"/>
      <c r="I39" s="973"/>
    </row>
    <row r="40" spans="1:9">
      <c r="A40" s="973"/>
      <c r="B40" s="973"/>
      <c r="C40" s="973"/>
      <c r="D40" s="973"/>
      <c r="E40" s="15"/>
      <c r="H40" s="973"/>
      <c r="I40" s="973"/>
    </row>
    <row r="41" spans="1:9">
      <c r="A41" s="35"/>
      <c r="B41" s="15"/>
      <c r="C41" s="15"/>
      <c r="D41" s="15"/>
      <c r="E41" s="15"/>
      <c r="H41" s="973"/>
      <c r="I41" s="973"/>
    </row>
    <row r="42" spans="1:9" ht="18">
      <c r="A42" s="38"/>
      <c r="B42" s="981"/>
      <c r="C42" s="981"/>
      <c r="D42" s="981"/>
      <c r="E42" s="36"/>
      <c r="H42" s="973"/>
      <c r="I42" s="973"/>
    </row>
    <row r="43" spans="1:9">
      <c r="A43" s="35"/>
      <c r="B43" s="14"/>
      <c r="C43" s="14"/>
      <c r="D43" s="14"/>
      <c r="E43" s="14"/>
      <c r="H43" s="973"/>
      <c r="I43" s="973"/>
    </row>
    <row r="44" spans="1:9" ht="15.5">
      <c r="A44" s="984"/>
      <c r="B44" s="984"/>
      <c r="C44" s="984"/>
      <c r="D44" s="984"/>
      <c r="E44" s="33"/>
    </row>
    <row r="45" spans="1:9" ht="18">
      <c r="A45" s="983"/>
      <c r="B45" s="983"/>
      <c r="C45" s="983"/>
      <c r="D45" s="983"/>
      <c r="E45" s="36"/>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3" spans="1:9">
      <c r="I53" s="37"/>
    </row>
    <row r="56" spans="1:9">
      <c r="I56" s="30"/>
    </row>
    <row r="57" spans="1:9">
      <c r="I57" s="982"/>
    </row>
    <row r="58" spans="1:9">
      <c r="I58" s="982"/>
    </row>
    <row r="59" spans="1:9">
      <c r="I59" s="982"/>
    </row>
  </sheetData>
  <mergeCells count="53">
    <mergeCell ref="A6:I6"/>
    <mergeCell ref="A15:D15"/>
    <mergeCell ref="A8:I8"/>
    <mergeCell ref="A12:I12"/>
    <mergeCell ref="A10:I10"/>
    <mergeCell ref="A7:I7"/>
    <mergeCell ref="A14:I14"/>
    <mergeCell ref="A13:I13"/>
    <mergeCell ref="M3:U3"/>
    <mergeCell ref="A1:I1"/>
    <mergeCell ref="A4:I4"/>
    <mergeCell ref="A3:I3"/>
    <mergeCell ref="A5:I5"/>
    <mergeCell ref="A2:I2"/>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H41:I41"/>
    <mergeCell ref="H42:I42"/>
    <mergeCell ref="B29:D29"/>
    <mergeCell ref="H34:I34"/>
    <mergeCell ref="H35:I35"/>
    <mergeCell ref="H38:I38"/>
    <mergeCell ref="H39:I39"/>
    <mergeCell ref="H40:I40"/>
    <mergeCell ref="A28:D28"/>
    <mergeCell ref="F17:I17"/>
    <mergeCell ref="A9:I9"/>
    <mergeCell ref="F24:I24"/>
    <mergeCell ref="F23:I23"/>
    <mergeCell ref="F18:I20"/>
    <mergeCell ref="F21:I22"/>
    <mergeCell ref="A16:D16"/>
    <mergeCell ref="A17:D19"/>
    <mergeCell ref="E17:E19"/>
    <mergeCell ref="A20:B23"/>
    <mergeCell ref="E20:E23"/>
    <mergeCell ref="A26:I26"/>
    <mergeCell ref="F15:I15"/>
    <mergeCell ref="F16:I16"/>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defaultColWidth="8.81640625" defaultRowHeight="12.5"/>
  <cols>
    <col min="1" max="7" width="12.6328125" style="211" customWidth="1"/>
    <col min="8" max="8" width="14" style="211" customWidth="1"/>
    <col min="9" max="10" width="12.6328125" style="211" customWidth="1"/>
    <col min="11" max="11" width="8.81640625" style="211"/>
    <col min="12" max="12" width="11.36328125" style="211" bestFit="1" customWidth="1"/>
    <col min="13" max="16384" width="8.81640625" style="211"/>
  </cols>
  <sheetData>
    <row r="1" spans="1:14" ht="20">
      <c r="A1" s="1186" t="s">
        <v>19</v>
      </c>
      <c r="B1" s="1187"/>
      <c r="C1" s="1187"/>
      <c r="D1" s="1187"/>
      <c r="E1" s="1187"/>
      <c r="F1" s="1187"/>
      <c r="G1" s="1187"/>
      <c r="H1" s="1187"/>
      <c r="I1" s="1188"/>
    </row>
    <row r="2" spans="1:14" ht="39" customHeight="1">
      <c r="A2" s="1720" t="s">
        <v>189</v>
      </c>
      <c r="B2" s="1721"/>
      <c r="C2" s="1721"/>
      <c r="D2" s="1721"/>
      <c r="E2" s="1721"/>
      <c r="F2" s="1721"/>
      <c r="G2" s="1721"/>
      <c r="H2" s="1721"/>
      <c r="I2" s="1722"/>
    </row>
    <row r="3" spans="1:14" ht="20">
      <c r="A3" s="1199" t="str">
        <f>'Forside 1'!A6:I6</f>
        <v>Gældende fra 1. april 2025</v>
      </c>
      <c r="B3" s="1200"/>
      <c r="C3" s="1200"/>
      <c r="D3" s="1200"/>
      <c r="E3" s="1200"/>
      <c r="F3" s="1200"/>
      <c r="G3" s="1200"/>
      <c r="H3" s="1200"/>
      <c r="I3" s="1201"/>
    </row>
    <row r="4" spans="1:14" ht="34" customHeight="1" thickBot="1">
      <c r="A4" s="1788" t="s">
        <v>301</v>
      </c>
      <c r="B4" s="1789"/>
      <c r="C4" s="1789"/>
      <c r="D4" s="1789"/>
      <c r="E4" s="1789"/>
      <c r="F4" s="1789"/>
      <c r="G4" s="1789"/>
      <c r="H4" s="1789"/>
      <c r="I4" s="1790"/>
    </row>
    <row r="5" spans="1:14" ht="14">
      <c r="A5" s="227"/>
      <c r="B5" s="227"/>
      <c r="C5" s="227"/>
      <c r="D5" s="227"/>
      <c r="E5" s="227"/>
      <c r="F5" s="227"/>
      <c r="G5" s="227"/>
      <c r="H5" s="227"/>
      <c r="I5" s="227"/>
      <c r="J5" s="227"/>
    </row>
    <row r="6" spans="1:14" ht="14.5" thickBot="1">
      <c r="A6" s="227"/>
      <c r="B6" s="227"/>
      <c r="C6" s="227"/>
      <c r="D6" s="227"/>
      <c r="E6" s="227"/>
      <c r="F6" s="227"/>
      <c r="G6" s="227"/>
      <c r="H6" s="227"/>
      <c r="I6" s="227"/>
      <c r="J6" s="227"/>
    </row>
    <row r="7" spans="1:14" s="237" customFormat="1" ht="18.5" thickBot="1">
      <c r="A7" s="1611" t="s">
        <v>278</v>
      </c>
      <c r="B7" s="1612"/>
      <c r="C7" s="1612"/>
      <c r="D7" s="1612"/>
      <c r="E7" s="1612"/>
      <c r="F7" s="1613"/>
      <c r="G7" s="1611" t="s">
        <v>168</v>
      </c>
      <c r="H7" s="1612"/>
      <c r="I7" s="1613"/>
      <c r="J7" s="670"/>
    </row>
    <row r="8" spans="1:14" s="237" customFormat="1" ht="14">
      <c r="A8" s="496" t="s">
        <v>57</v>
      </c>
      <c r="B8" s="497" t="s">
        <v>75</v>
      </c>
      <c r="C8" s="497" t="s">
        <v>76</v>
      </c>
      <c r="D8" s="497" t="s">
        <v>77</v>
      </c>
      <c r="E8" s="497" t="s">
        <v>78</v>
      </c>
      <c r="F8" s="497" t="s">
        <v>79</v>
      </c>
      <c r="G8" s="1782" t="s">
        <v>379</v>
      </c>
      <c r="H8" s="1783"/>
      <c r="I8" s="671">
        <v>0.14000000000000001</v>
      </c>
    </row>
    <row r="9" spans="1:14" s="237" customFormat="1" ht="14" customHeight="1">
      <c r="A9" s="275" t="s">
        <v>209</v>
      </c>
      <c r="B9" s="456" t="e">
        <f>'Statens skalatrin'!D46+('3f (DFF, DPS, LS, DSSV)'!#REF!/12)</f>
        <v>#REF!</v>
      </c>
      <c r="C9" s="456" t="e">
        <f>'Statens skalatrin'!F46+('3f (DFF, DPS, LS, DSSV)'!#REF!/12)</f>
        <v>#REF!</v>
      </c>
      <c r="D9" s="456" t="e">
        <f>'Statens skalatrin'!H46+('3f (DFF, DPS, LS, DSSV)'!#REF!/12)</f>
        <v>#REF!</v>
      </c>
      <c r="E9" s="456" t="e">
        <f>'Statens skalatrin'!J46+('3f (DFF, DPS, LS, DSSV)'!#REF!/12)</f>
        <v>#REF!</v>
      </c>
      <c r="F9" s="456" t="e">
        <f>'Statens skalatrin'!L46+('3f (DFF, DPS, LS, DSSV)'!#REF!/12)</f>
        <v>#REF!</v>
      </c>
      <c r="G9" s="1784">
        <f>'Statens skalatrin'!O46</f>
        <v>21867.83</v>
      </c>
      <c r="H9" s="1785"/>
      <c r="I9" s="334">
        <f>G9*$I$8</f>
        <v>3061.4962000000005</v>
      </c>
      <c r="J9" s="240"/>
      <c r="K9" s="236"/>
    </row>
    <row r="10" spans="1:14" s="237" customFormat="1" ht="15" customHeight="1">
      <c r="A10" s="275">
        <v>17</v>
      </c>
      <c r="B10" s="456">
        <f>'Statens skalatrin'!D55</f>
        <v>24559.67</v>
      </c>
      <c r="C10" s="456">
        <f>'Statens skalatrin'!F55</f>
        <v>25084.67</v>
      </c>
      <c r="D10" s="456">
        <f>'Statens skalatrin'!H55</f>
        <v>25448.080000000002</v>
      </c>
      <c r="E10" s="456">
        <f>'Statens skalatrin'!J55</f>
        <v>25973</v>
      </c>
      <c r="F10" s="456">
        <f>'Statens skalatrin'!L55</f>
        <v>26336.25</v>
      </c>
      <c r="G10" s="1784">
        <f>'Statens skalatrin'!O55</f>
        <v>23066.49</v>
      </c>
      <c r="H10" s="1785"/>
      <c r="I10" s="334">
        <f>G10*$I$8</f>
        <v>3229.3086000000008</v>
      </c>
      <c r="J10" s="240"/>
      <c r="K10" s="236"/>
    </row>
    <row r="11" spans="1:14" s="237" customFormat="1" ht="15" customHeight="1" thickBot="1">
      <c r="A11" s="276" t="s">
        <v>169</v>
      </c>
      <c r="B11" s="457" t="e">
        <f>'Statens skalatrin'!D64+('3f (DFF, DPS, LS, DSSV)'!#REF!/12)</f>
        <v>#REF!</v>
      </c>
      <c r="C11" s="457" t="e">
        <f>'Statens skalatrin'!F64+('3f (DFF, DPS, LS, DSSV)'!#REF!/12)</f>
        <v>#REF!</v>
      </c>
      <c r="D11" s="457" t="e">
        <f>'Statens skalatrin'!H64+('3f (DFF, DPS, LS, DSSV)'!#REF!/12)</f>
        <v>#REF!</v>
      </c>
      <c r="E11" s="457" t="e">
        <f>'Statens skalatrin'!J64+('3f (DFF, DPS, LS, DSSV)'!#REF!/12)</f>
        <v>#REF!</v>
      </c>
      <c r="F11" s="457" t="e">
        <f>'Statens skalatrin'!L64+('3f (DFF, DPS, LS, DSSV)'!#REF!/12)</f>
        <v>#REF!</v>
      </c>
      <c r="G11" s="1786">
        <f>'Statens skalatrin'!O64</f>
        <v>24366.95</v>
      </c>
      <c r="H11" s="1787"/>
      <c r="I11" s="335">
        <f>G11*$I$8</f>
        <v>3411.3730000000005</v>
      </c>
      <c r="J11" s="240"/>
      <c r="K11" s="236"/>
      <c r="N11" s="239"/>
    </row>
    <row r="12" spans="1:14" s="237" customFormat="1" ht="14">
      <c r="B12" s="238"/>
      <c r="C12" s="238"/>
      <c r="D12" s="238"/>
      <c r="E12" s="238"/>
      <c r="F12" s="238"/>
    </row>
    <row r="13" spans="1:14" s="237" customFormat="1" ht="14.5" thickBot="1">
      <c r="B13" s="238"/>
      <c r="C13" s="238"/>
      <c r="D13" s="238"/>
      <c r="E13" s="238"/>
      <c r="F13" s="238"/>
    </row>
    <row r="14" spans="1:14" s="237" customFormat="1" ht="18.5" thickBot="1">
      <c r="A14" s="1611" t="s">
        <v>279</v>
      </c>
      <c r="B14" s="1612"/>
      <c r="C14" s="1612"/>
      <c r="D14" s="1612"/>
      <c r="E14" s="1612"/>
      <c r="F14" s="1613"/>
    </row>
    <row r="15" spans="1:14" s="237" customFormat="1" ht="15" customHeight="1" thickBot="1">
      <c r="A15" s="1803" t="s">
        <v>171</v>
      </c>
      <c r="B15" s="1804"/>
      <c r="C15" s="1804"/>
      <c r="D15" s="1804"/>
      <c r="E15" s="1804"/>
      <c r="F15" s="1805"/>
    </row>
    <row r="16" spans="1:14" s="237" customFormat="1" ht="16" customHeight="1">
      <c r="A16" s="426" t="s">
        <v>57</v>
      </c>
      <c r="B16" s="427" t="s">
        <v>75</v>
      </c>
      <c r="C16" s="426" t="s">
        <v>76</v>
      </c>
      <c r="D16" s="427" t="s">
        <v>77</v>
      </c>
      <c r="E16" s="426" t="s">
        <v>78</v>
      </c>
      <c r="F16" s="428" t="s">
        <v>79</v>
      </c>
    </row>
    <row r="17" spans="1:12" s="237" customFormat="1" ht="16" customHeight="1" thickBot="1">
      <c r="A17" s="250" t="s">
        <v>209</v>
      </c>
      <c r="B17" s="458" t="e">
        <f>B9*12/1924</f>
        <v>#REF!</v>
      </c>
      <c r="C17" s="459" t="e">
        <f>C9*12/1924</f>
        <v>#REF!</v>
      </c>
      <c r="D17" s="458" t="e">
        <f>D9*12/1924</f>
        <v>#REF!</v>
      </c>
      <c r="E17" s="459" t="e">
        <f>(E9*12)/1924</f>
        <v>#REF!</v>
      </c>
      <c r="F17" s="460" t="e">
        <f>(F9*12)/1924</f>
        <v>#REF!</v>
      </c>
      <c r="H17" s="236"/>
      <c r="I17" s="236"/>
      <c r="J17" s="236"/>
      <c r="K17" s="236"/>
      <c r="L17" s="236"/>
    </row>
    <row r="18" spans="1:12" s="237" customFormat="1" ht="16" customHeight="1">
      <c r="A18" s="246"/>
      <c r="B18" s="245"/>
      <c r="C18" s="245"/>
      <c r="D18" s="245"/>
      <c r="E18" s="245"/>
      <c r="F18" s="245"/>
      <c r="H18" s="236"/>
      <c r="I18" s="236"/>
      <c r="J18" s="236"/>
      <c r="K18" s="236"/>
      <c r="L18" s="236"/>
    </row>
    <row r="19" spans="1:12" s="237" customFormat="1" ht="14.5" thickBot="1">
      <c r="A19" s="246"/>
      <c r="B19" s="245"/>
      <c r="C19" s="245"/>
      <c r="D19" s="245"/>
      <c r="E19" s="245"/>
      <c r="F19" s="245"/>
    </row>
    <row r="20" spans="1:12" ht="20" customHeight="1">
      <c r="A20" s="1078" t="s">
        <v>172</v>
      </c>
      <c r="B20" s="1079"/>
      <c r="C20" s="1079"/>
      <c r="D20" s="1079"/>
      <c r="E20" s="1079"/>
      <c r="F20" s="1079"/>
      <c r="G20" s="1079"/>
      <c r="H20" s="1079"/>
      <c r="I20" s="1080"/>
      <c r="J20" s="227"/>
    </row>
    <row r="21" spans="1:12" ht="20" customHeight="1" thickBot="1">
      <c r="A21" s="1158" t="s">
        <v>284</v>
      </c>
      <c r="B21" s="1159"/>
      <c r="C21" s="1159"/>
      <c r="D21" s="1159"/>
      <c r="E21" s="1159"/>
      <c r="F21" s="1159"/>
      <c r="G21" s="1159"/>
      <c r="H21" s="1159"/>
      <c r="I21" s="1160"/>
      <c r="J21" s="227"/>
    </row>
    <row r="22" spans="1:12" s="237" customFormat="1" ht="30" customHeight="1" thickBot="1">
      <c r="A22" s="1705"/>
      <c r="B22" s="1706"/>
      <c r="C22" s="1706"/>
      <c r="D22" s="1706"/>
      <c r="E22" s="1706"/>
      <c r="F22" s="1706"/>
      <c r="G22" s="1706"/>
      <c r="H22" s="579" t="s">
        <v>311</v>
      </c>
      <c r="I22" s="574" t="s">
        <v>312</v>
      </c>
    </row>
    <row r="23" spans="1:12" s="237" customFormat="1" ht="14.5" thickBot="1">
      <c r="A23" s="1764"/>
      <c r="B23" s="1765"/>
      <c r="C23" s="1765"/>
      <c r="D23" s="1765"/>
      <c r="E23" s="1765"/>
      <c r="F23" s="1765"/>
      <c r="G23" s="1766"/>
      <c r="H23" s="518">
        <v>40999</v>
      </c>
      <c r="I23" s="581" t="str">
        <f>'Løntabel gældende fra'!D1</f>
        <v>01-04-2025</v>
      </c>
    </row>
    <row r="24" spans="1:12" s="237" customFormat="1" ht="17" customHeight="1">
      <c r="A24" s="1801" t="s">
        <v>173</v>
      </c>
      <c r="B24" s="1802"/>
      <c r="C24" s="1802"/>
      <c r="D24" s="1802"/>
      <c r="E24" s="1802"/>
      <c r="F24" s="498"/>
      <c r="G24" s="499" t="s">
        <v>165</v>
      </c>
      <c r="H24" s="160">
        <v>22.32</v>
      </c>
      <c r="I24" s="501">
        <f>H24+(H24*'Løntabel gældende fra'!$D$7%)</f>
        <v>27.522680399999999</v>
      </c>
    </row>
    <row r="25" spans="1:12" s="237" customFormat="1" ht="17" customHeight="1">
      <c r="A25" s="1718" t="s">
        <v>174</v>
      </c>
      <c r="B25" s="1719"/>
      <c r="C25" s="1719"/>
      <c r="D25" s="1719"/>
      <c r="E25" s="1719"/>
      <c r="F25" s="252"/>
      <c r="G25" s="235" t="s">
        <v>165</v>
      </c>
      <c r="H25" s="180">
        <v>39.92</v>
      </c>
      <c r="I25" s="501">
        <f>H25+(H25*'Løntabel gældende fra'!$D$7%)</f>
        <v>49.225152399999999</v>
      </c>
    </row>
    <row r="26" spans="1:12" s="237" customFormat="1" ht="17" customHeight="1">
      <c r="A26" s="1710" t="s">
        <v>175</v>
      </c>
      <c r="B26" s="1711"/>
      <c r="C26" s="1711"/>
      <c r="D26" s="1711"/>
      <c r="E26" s="1711"/>
      <c r="F26" s="1711"/>
      <c r="G26" s="235" t="s">
        <v>165</v>
      </c>
      <c r="H26" s="180">
        <v>39.92</v>
      </c>
      <c r="I26" s="501">
        <f>H26+(H26*'Løntabel gældende fra'!$D$7%)</f>
        <v>49.225152399999999</v>
      </c>
    </row>
    <row r="27" spans="1:12" s="237" customFormat="1" ht="17" customHeight="1" thickBot="1">
      <c r="A27" s="265" t="s">
        <v>164</v>
      </c>
      <c r="B27" s="264"/>
      <c r="C27" s="264"/>
      <c r="D27" s="264"/>
      <c r="E27" s="249"/>
      <c r="F27" s="249"/>
      <c r="G27" s="259" t="s">
        <v>165</v>
      </c>
      <c r="H27" s="161">
        <v>39.92</v>
      </c>
      <c r="I27" s="491">
        <f>H27+(H27*'Løntabel gældende fra'!$D$7%)</f>
        <v>49.225152399999999</v>
      </c>
    </row>
    <row r="28" spans="1:12" s="237" customFormat="1" ht="14">
      <c r="A28" s="227"/>
      <c r="B28" s="227"/>
      <c r="C28" s="227"/>
      <c r="D28" s="227"/>
      <c r="E28" s="227"/>
      <c r="F28" s="228"/>
      <c r="G28" s="227"/>
      <c r="H28" s="228"/>
      <c r="I28" s="227"/>
    </row>
    <row r="29" spans="1:12" s="237" customFormat="1" ht="14.5" thickBot="1">
      <c r="A29" s="227"/>
      <c r="B29" s="227"/>
      <c r="C29" s="227"/>
      <c r="D29" s="227"/>
      <c r="E29" s="227"/>
      <c r="F29" s="228"/>
      <c r="G29" s="227"/>
      <c r="H29" s="228"/>
      <c r="I29" s="227"/>
    </row>
    <row r="30" spans="1:12" s="237" customFormat="1" ht="18">
      <c r="A30" s="1078" t="s">
        <v>176</v>
      </c>
      <c r="B30" s="1079"/>
      <c r="C30" s="1079"/>
      <c r="D30" s="1079"/>
      <c r="E30" s="1079"/>
      <c r="F30" s="1079"/>
      <c r="G30" s="1079"/>
      <c r="H30" s="1079"/>
      <c r="I30" s="1080"/>
    </row>
    <row r="31" spans="1:12" s="237" customFormat="1" ht="16" thickBot="1">
      <c r="A31" s="1158" t="s">
        <v>280</v>
      </c>
      <c r="B31" s="1159"/>
      <c r="C31" s="1159"/>
      <c r="D31" s="1159"/>
      <c r="E31" s="1159"/>
      <c r="F31" s="1159"/>
      <c r="G31" s="1159"/>
      <c r="H31" s="1159"/>
      <c r="I31" s="1160"/>
    </row>
    <row r="32" spans="1:12" s="237" customFormat="1" ht="28.5" thickBot="1">
      <c r="A32" s="1764"/>
      <c r="B32" s="1765"/>
      <c r="C32" s="1765"/>
      <c r="D32" s="1765"/>
      <c r="E32" s="1765"/>
      <c r="F32" s="1765"/>
      <c r="G32" s="1766"/>
      <c r="H32" s="579" t="s">
        <v>311</v>
      </c>
      <c r="I32" s="574" t="s">
        <v>312</v>
      </c>
    </row>
    <row r="33" spans="1:9" s="237" customFormat="1" ht="14.5" thickBot="1">
      <c r="A33" s="1798"/>
      <c r="B33" s="1799"/>
      <c r="C33" s="1799"/>
      <c r="D33" s="1799"/>
      <c r="E33" s="1799"/>
      <c r="F33" s="1799"/>
      <c r="G33" s="1800"/>
      <c r="H33" s="518">
        <v>40999</v>
      </c>
      <c r="I33" s="581" t="str">
        <f>'Løntabel gældende fra'!D1</f>
        <v>01-04-2025</v>
      </c>
    </row>
    <row r="34" spans="1:9" s="237" customFormat="1" ht="14.5" thickBot="1">
      <c r="A34" s="1127" t="s">
        <v>272</v>
      </c>
      <c r="B34" s="1128"/>
      <c r="C34" s="1128"/>
      <c r="D34" s="1128"/>
      <c r="E34" s="1128"/>
      <c r="F34" s="527"/>
      <c r="G34" s="528" t="s">
        <v>165</v>
      </c>
      <c r="H34" s="162">
        <v>6.88</v>
      </c>
      <c r="I34" s="491">
        <f>H34+(H34*'Løntabel gældende fra'!D7%)</f>
        <v>8.4836936000000005</v>
      </c>
    </row>
    <row r="35" spans="1:9" s="237" customFormat="1" ht="14">
      <c r="A35" s="227"/>
      <c r="B35" s="227"/>
      <c r="C35" s="227"/>
      <c r="D35" s="227"/>
      <c r="E35" s="227"/>
      <c r="F35" s="228"/>
      <c r="G35" s="227"/>
      <c r="H35" s="228"/>
      <c r="I35" s="227"/>
    </row>
    <row r="36" spans="1:9" s="237" customFormat="1" ht="14.5" thickBot="1">
      <c r="A36" s="227"/>
      <c r="B36" s="227"/>
      <c r="C36" s="227"/>
      <c r="D36" s="227"/>
      <c r="E36" s="227"/>
      <c r="F36" s="228"/>
      <c r="G36" s="227"/>
      <c r="H36" s="228"/>
      <c r="I36" s="227"/>
    </row>
    <row r="37" spans="1:9" s="237" customFormat="1" ht="18">
      <c r="A37" s="1078" t="s">
        <v>297</v>
      </c>
      <c r="B37" s="1079"/>
      <c r="C37" s="1079"/>
      <c r="D37" s="1079"/>
      <c r="E37" s="1079"/>
      <c r="F37" s="1079"/>
      <c r="G37" s="1079"/>
      <c r="H37" s="1079"/>
      <c r="I37" s="1080"/>
    </row>
    <row r="38" spans="1:9" s="237" customFormat="1" ht="16" thickBot="1">
      <c r="A38" s="1791" t="s">
        <v>284</v>
      </c>
      <c r="B38" s="1792"/>
      <c r="C38" s="1792"/>
      <c r="D38" s="1792"/>
      <c r="E38" s="1792"/>
      <c r="F38" s="1792"/>
      <c r="G38" s="1792"/>
      <c r="H38" s="1792"/>
      <c r="I38" s="1793"/>
    </row>
    <row r="39" spans="1:9" s="237" customFormat="1" ht="33" customHeight="1">
      <c r="A39" s="1770"/>
      <c r="B39" s="1771"/>
      <c r="C39" s="1771"/>
      <c r="D39" s="1771"/>
      <c r="E39" s="1771"/>
      <c r="F39" s="1771"/>
      <c r="G39" s="1772"/>
      <c r="H39" s="577" t="s">
        <v>131</v>
      </c>
      <c r="I39" s="573" t="s">
        <v>310</v>
      </c>
    </row>
    <row r="40" spans="1:9" s="237" customFormat="1" ht="14.5" thickBot="1">
      <c r="A40" s="1795"/>
      <c r="B40" s="1796"/>
      <c r="C40" s="1796"/>
      <c r="D40" s="1796"/>
      <c r="E40" s="1796"/>
      <c r="F40" s="1796"/>
      <c r="G40" s="1797"/>
      <c r="H40" s="518">
        <v>40999</v>
      </c>
      <c r="I40" s="581" t="str">
        <f>'Løntabel gældende fra'!D1</f>
        <v>01-04-2025</v>
      </c>
    </row>
    <row r="41" spans="1:9" s="237" customFormat="1" ht="14.5" thickBot="1">
      <c r="A41" s="1127" t="s">
        <v>273</v>
      </c>
      <c r="B41" s="1128"/>
      <c r="C41" s="1128"/>
      <c r="D41" s="1128"/>
      <c r="E41" s="1128"/>
      <c r="F41" s="527"/>
      <c r="G41" s="528"/>
      <c r="H41" s="162">
        <v>655</v>
      </c>
      <c r="I41" s="491">
        <f>H41+(H41*'Løntabel gældende fra'!D7%)</f>
        <v>807.67722500000002</v>
      </c>
    </row>
    <row r="42" spans="1:9" s="237" customFormat="1" ht="14">
      <c r="A42" s="227"/>
      <c r="B42" s="227"/>
      <c r="C42" s="227"/>
      <c r="D42" s="227"/>
      <c r="E42" s="227"/>
      <c r="F42" s="228"/>
      <c r="G42" s="227"/>
      <c r="H42" s="228"/>
      <c r="I42" s="227"/>
    </row>
    <row r="43" spans="1:9" s="237" customFormat="1" ht="14.5" thickBot="1">
      <c r="A43" s="227"/>
      <c r="B43" s="227"/>
      <c r="C43" s="227"/>
      <c r="D43" s="227"/>
      <c r="E43" s="227"/>
      <c r="F43" s="228"/>
      <c r="G43" s="227"/>
      <c r="H43" s="228"/>
      <c r="I43" s="227"/>
    </row>
    <row r="44" spans="1:9" s="237" customFormat="1" ht="18">
      <c r="A44" s="1078" t="s">
        <v>296</v>
      </c>
      <c r="B44" s="1079"/>
      <c r="C44" s="1079"/>
      <c r="D44" s="1079"/>
      <c r="E44" s="1079"/>
      <c r="F44" s="1079"/>
      <c r="G44" s="1079"/>
      <c r="H44" s="1079"/>
      <c r="I44" s="1080"/>
    </row>
    <row r="45" spans="1:9" s="237" customFormat="1" ht="16" thickBot="1">
      <c r="A45" s="1791" t="s">
        <v>280</v>
      </c>
      <c r="B45" s="1792"/>
      <c r="C45" s="1792"/>
      <c r="D45" s="1792"/>
      <c r="E45" s="1792"/>
      <c r="F45" s="1792"/>
      <c r="G45" s="1792"/>
      <c r="H45" s="1792"/>
      <c r="I45" s="1793"/>
    </row>
    <row r="46" spans="1:9" s="237" customFormat="1" ht="28">
      <c r="A46" s="1124"/>
      <c r="B46" s="1125"/>
      <c r="C46" s="1125"/>
      <c r="D46" s="1125"/>
      <c r="E46" s="1125"/>
      <c r="F46" s="1125"/>
      <c r="G46" s="1126"/>
      <c r="H46" s="577" t="s">
        <v>131</v>
      </c>
      <c r="I46" s="573" t="s">
        <v>310</v>
      </c>
    </row>
    <row r="47" spans="1:9" s="237" customFormat="1" ht="14.5" thickBot="1">
      <c r="A47" s="1127"/>
      <c r="B47" s="1128"/>
      <c r="C47" s="1128"/>
      <c r="D47" s="1128"/>
      <c r="E47" s="1128"/>
      <c r="F47" s="1128"/>
      <c r="G47" s="1129"/>
      <c r="H47" s="518">
        <v>40999</v>
      </c>
      <c r="I47" s="581" t="str">
        <f>'Løntabel gældende fra'!D1</f>
        <v>01-04-2025</v>
      </c>
    </row>
    <row r="48" spans="1:9" s="237" customFormat="1" ht="14.5" thickBot="1">
      <c r="A48" s="1127" t="s">
        <v>184</v>
      </c>
      <c r="B48" s="1128"/>
      <c r="C48" s="1128"/>
      <c r="D48" s="1128"/>
      <c r="E48" s="1128"/>
      <c r="F48" s="527"/>
      <c r="G48" s="528"/>
      <c r="H48" s="162">
        <v>10500</v>
      </c>
      <c r="I48" s="491">
        <f>H48+(H48*'Løntabel gældende fra'!D7%)</f>
        <v>12947.497499999999</v>
      </c>
    </row>
    <row r="49" spans="1:10" s="237" customFormat="1" ht="14"/>
    <row r="50" spans="1:10" s="237" customFormat="1" ht="14.5" thickBot="1"/>
    <row r="51" spans="1:10" s="237" customFormat="1" ht="18">
      <c r="A51" s="1078" t="s">
        <v>295</v>
      </c>
      <c r="B51" s="1079"/>
      <c r="C51" s="1079"/>
      <c r="D51" s="1079"/>
      <c r="E51" s="1079"/>
      <c r="F51" s="1079"/>
      <c r="G51" s="1079"/>
      <c r="H51" s="1079"/>
      <c r="I51" s="1080"/>
    </row>
    <row r="52" spans="1:10" s="237" customFormat="1" ht="16" thickBot="1">
      <c r="A52" s="1158" t="s">
        <v>280</v>
      </c>
      <c r="B52" s="1159"/>
      <c r="C52" s="1159"/>
      <c r="D52" s="1159"/>
      <c r="E52" s="1159"/>
      <c r="F52" s="1159"/>
      <c r="G52" s="1159"/>
      <c r="H52" s="1159"/>
      <c r="I52" s="1160"/>
    </row>
    <row r="53" spans="1:10" s="237" customFormat="1" ht="14">
      <c r="A53" s="1767" t="s">
        <v>358</v>
      </c>
      <c r="B53" s="1768"/>
      <c r="C53" s="1768"/>
      <c r="D53" s="1768"/>
      <c r="E53" s="1768"/>
      <c r="F53" s="1768"/>
      <c r="G53" s="1769"/>
      <c r="H53" s="523" t="s">
        <v>98</v>
      </c>
      <c r="I53" s="524" t="s">
        <v>103</v>
      </c>
    </row>
    <row r="54" spans="1:10" s="237" customFormat="1" ht="14.5" thickBot="1">
      <c r="A54" s="1700"/>
      <c r="B54" s="1701"/>
      <c r="C54" s="1701"/>
      <c r="D54" s="1701"/>
      <c r="E54" s="1701"/>
      <c r="F54" s="1701"/>
      <c r="G54" s="1702"/>
      <c r="H54" s="525">
        <v>40999</v>
      </c>
      <c r="I54" s="581" t="str">
        <f>'Løntabel gældende fra'!D1</f>
        <v>01-04-2025</v>
      </c>
    </row>
    <row r="55" spans="1:10" s="237" customFormat="1" ht="14.5" thickBot="1">
      <c r="A55" s="1703" t="s">
        <v>277</v>
      </c>
      <c r="B55" s="1704"/>
      <c r="C55" s="1704"/>
      <c r="D55" s="1704"/>
      <c r="E55" s="1704"/>
      <c r="F55" s="233"/>
      <c r="G55" s="244"/>
      <c r="H55" s="302">
        <v>0</v>
      </c>
      <c r="I55" s="295">
        <v>0</v>
      </c>
    </row>
    <row r="56" spans="1:10" s="237" customFormat="1" ht="14"/>
    <row r="57" spans="1:10" s="237" customFormat="1" ht="14">
      <c r="A57" s="1794"/>
      <c r="B57" s="1794"/>
      <c r="C57" s="1794"/>
      <c r="D57" s="1794"/>
      <c r="E57" s="1794"/>
      <c r="F57" s="1794"/>
      <c r="G57" s="1794"/>
      <c r="H57" s="1794"/>
      <c r="I57" s="1794"/>
      <c r="J57" s="1794"/>
    </row>
    <row r="58" spans="1:10" s="237" customFormat="1" ht="14">
      <c r="A58" s="492"/>
    </row>
    <row r="59" spans="1:10" s="237" customFormat="1" ht="14"/>
    <row r="60" spans="1:10" s="237" customFormat="1" ht="14"/>
    <row r="61" spans="1:10" s="237" customFormat="1" ht="14"/>
    <row r="62" spans="1:10" s="237" customFormat="1" ht="14"/>
    <row r="72" s="237" customFormat="1" ht="14"/>
    <row r="73" s="237" customFormat="1" ht="14"/>
    <row r="74" s="237" customFormat="1" ht="14"/>
    <row r="75" s="237" customFormat="1" ht="14"/>
    <row r="76" s="237" customFormat="1" ht="14"/>
    <row r="77" s="237" customFormat="1" ht="14"/>
    <row r="78" s="237" customFormat="1" ht="14"/>
    <row r="79" s="237" customFormat="1" ht="14"/>
    <row r="80" s="237" customFormat="1" ht="14"/>
    <row r="81" s="237" customFormat="1" ht="14"/>
    <row r="82" s="237" customFormat="1" ht="14"/>
    <row r="83" s="237" customFormat="1" ht="14"/>
    <row r="84" s="237" customFormat="1" ht="14"/>
    <row r="85" s="237" customFormat="1" ht="14"/>
    <row r="86" s="237" customFormat="1" ht="14"/>
    <row r="87" s="237" customFormat="1" ht="14"/>
    <row r="88" s="237" customFormat="1" ht="14"/>
    <row r="89" s="237" customFormat="1" ht="14"/>
    <row r="90" s="237" customFormat="1" ht="14"/>
    <row r="91" s="237" customFormat="1" ht="14"/>
    <row r="92" s="237" customFormat="1" ht="14"/>
    <row r="93" s="237" customFormat="1" ht="14"/>
    <row r="94" s="237" customFormat="1" ht="14"/>
    <row r="95" s="237" customFormat="1" ht="14"/>
    <row r="96" s="237" customFormat="1" ht="14"/>
    <row r="97" s="237" customFormat="1" ht="14"/>
    <row r="98" s="237" customFormat="1" ht="14"/>
    <row r="99" s="237" customFormat="1" ht="14"/>
    <row r="100" s="237" customFormat="1" ht="14"/>
    <row r="101" s="237" customFormat="1" ht="14"/>
    <row r="102" s="237" customFormat="1" ht="14"/>
    <row r="103" s="237" customFormat="1" ht="14"/>
    <row r="104" s="237" customFormat="1" ht="14"/>
    <row r="105" s="237" customFormat="1" ht="14"/>
    <row r="106" s="237" customFormat="1" ht="14"/>
    <row r="107" s="237" customFormat="1" ht="14"/>
    <row r="108" s="237" customFormat="1" ht="14"/>
    <row r="109" s="237" customFormat="1" ht="14"/>
    <row r="110" s="237" customFormat="1" ht="14"/>
    <row r="111" s="237" customFormat="1" ht="14"/>
    <row r="112" s="237" customFormat="1" ht="14"/>
    <row r="113" s="237" customFormat="1" ht="14"/>
    <row r="114" s="237" customFormat="1" ht="14"/>
    <row r="115" s="237" customFormat="1" ht="14"/>
    <row r="116" s="237" customFormat="1" ht="14"/>
    <row r="117" s="237" customFormat="1" ht="14"/>
    <row r="118" s="237" customFormat="1" ht="14"/>
    <row r="119" s="237" customFormat="1" ht="14"/>
    <row r="120" s="237" customFormat="1" ht="14"/>
    <row r="121" s="237" customFormat="1" ht="14"/>
    <row r="122" s="237" customFormat="1" ht="14"/>
    <row r="123" s="237" customFormat="1" ht="14"/>
    <row r="124" s="237" customFormat="1" ht="14"/>
    <row r="125" s="237" customFormat="1" ht="14"/>
    <row r="126" s="237" customFormat="1" ht="14"/>
    <row r="127" s="237" customFormat="1" ht="14"/>
    <row r="128" s="237" customFormat="1" ht="14"/>
    <row r="129" s="237" customFormat="1" ht="14"/>
    <row r="130" s="237" customFormat="1" ht="14"/>
    <row r="131" s="237" customFormat="1" ht="14"/>
    <row r="132" s="237" customFormat="1" ht="14"/>
    <row r="133" s="237" customFormat="1" ht="14"/>
    <row r="134" s="237" customFormat="1" ht="14"/>
    <row r="135" s="237" customFormat="1" ht="14"/>
    <row r="136" s="237" customFormat="1" ht="14"/>
    <row r="137" s="237" customFormat="1" ht="14"/>
    <row r="138" s="237" customFormat="1" ht="14"/>
    <row r="139" s="237" customFormat="1" ht="14"/>
    <row r="140" s="237" customFormat="1" ht="14"/>
    <row r="141" s="237" customFormat="1" ht="14"/>
    <row r="142" s="237" customFormat="1" ht="14"/>
    <row r="143" s="237" customFormat="1" ht="14"/>
    <row r="144" s="237" customFormat="1" ht="14"/>
    <row r="145" s="237" customFormat="1" ht="14"/>
    <row r="146" s="237" customFormat="1" ht="14"/>
    <row r="147" s="237" customFormat="1" ht="14"/>
    <row r="148" s="237" customFormat="1" ht="14"/>
    <row r="149" s="237" customFormat="1" ht="14"/>
    <row r="150" s="237" customFormat="1" ht="14"/>
    <row r="151" s="237" customFormat="1" ht="14"/>
    <row r="152" s="237" customFormat="1" ht="14"/>
    <row r="153" s="237" customFormat="1" ht="14"/>
  </sheetData>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8"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workbookViewId="0">
      <selection activeCell="K54" activeCellId="5" sqref="K17 K6 K28 K37 K47 K54"/>
    </sheetView>
  </sheetViews>
  <sheetFormatPr defaultColWidth="8.81640625" defaultRowHeight="12.5"/>
  <cols>
    <col min="1" max="2" width="11.6328125" style="211" customWidth="1"/>
    <col min="3" max="4" width="13.81640625" style="211" customWidth="1"/>
    <col min="5" max="5" width="13.81640625" style="212" customWidth="1"/>
    <col min="6" max="6" width="13.81640625" style="211" customWidth="1"/>
    <col min="7" max="8" width="13.81640625" style="213" customWidth="1"/>
    <col min="9" max="10" width="13.81640625" style="211" customWidth="1"/>
    <col min="11" max="11" width="11.6328125" style="211" customWidth="1"/>
    <col min="12" max="16384" width="8.81640625" style="211"/>
  </cols>
  <sheetData>
    <row r="1" spans="1:10" s="2" customFormat="1" ht="22" customHeight="1">
      <c r="A1" s="1186" t="s">
        <v>19</v>
      </c>
      <c r="B1" s="1187"/>
      <c r="C1" s="1187"/>
      <c r="D1" s="1187"/>
      <c r="E1" s="1187"/>
      <c r="F1" s="1187"/>
      <c r="G1" s="1187"/>
      <c r="H1" s="1187"/>
      <c r="I1" s="1187"/>
      <c r="J1" s="1188"/>
    </row>
    <row r="2" spans="1:10" s="2" customFormat="1" ht="22" customHeight="1">
      <c r="A2" s="1199" t="s">
        <v>399</v>
      </c>
      <c r="B2" s="1200"/>
      <c r="C2" s="1200"/>
      <c r="D2" s="1200"/>
      <c r="E2" s="1200"/>
      <c r="F2" s="1200"/>
      <c r="G2" s="1200"/>
      <c r="H2" s="1200"/>
      <c r="I2" s="1200"/>
      <c r="J2" s="1201"/>
    </row>
    <row r="3" spans="1:10" s="529" customFormat="1" ht="25" customHeight="1">
      <c r="A3" s="1199" t="str">
        <f>'Forside 1'!A6:I6</f>
        <v>Gældende fra 1. april 2025</v>
      </c>
      <c r="B3" s="1200"/>
      <c r="C3" s="1200"/>
      <c r="D3" s="1200"/>
      <c r="E3" s="1200"/>
      <c r="F3" s="1200"/>
      <c r="G3" s="1200"/>
      <c r="H3" s="1200"/>
      <c r="I3" s="1200"/>
      <c r="J3" s="1201"/>
    </row>
    <row r="4" spans="1:10" s="529" customFormat="1" ht="25" customHeight="1">
      <c r="A4" s="1846" t="s">
        <v>439</v>
      </c>
      <c r="B4" s="1847"/>
      <c r="C4" s="1847"/>
      <c r="D4" s="1847"/>
      <c r="E4" s="1847"/>
      <c r="F4" s="1847"/>
      <c r="G4" s="1847"/>
      <c r="H4" s="1847"/>
      <c r="I4" s="1847"/>
      <c r="J4" s="1848"/>
    </row>
    <row r="5" spans="1:10" s="2" customFormat="1" ht="19" customHeight="1" thickBot="1">
      <c r="A5" s="1843" t="s">
        <v>440</v>
      </c>
      <c r="B5" s="1844"/>
      <c r="C5" s="1844"/>
      <c r="D5" s="1844"/>
      <c r="E5" s="1844"/>
      <c r="F5" s="1844"/>
      <c r="G5" s="1844"/>
      <c r="H5" s="1844"/>
      <c r="I5" s="1844"/>
      <c r="J5" s="1845"/>
    </row>
    <row r="6" spans="1:10" ht="20.5" thickBot="1">
      <c r="A6" s="1733"/>
      <c r="B6" s="1733"/>
      <c r="C6" s="1733"/>
      <c r="D6" s="1733"/>
      <c r="E6" s="1733"/>
      <c r="F6" s="1733"/>
      <c r="G6" s="1733"/>
      <c r="H6" s="1733"/>
    </row>
    <row r="7" spans="1:10" ht="18">
      <c r="A7" s="1723" t="s">
        <v>400</v>
      </c>
      <c r="B7" s="1724"/>
      <c r="C7" s="1724"/>
      <c r="D7" s="1724"/>
      <c r="E7" s="1724"/>
      <c r="F7" s="1724"/>
      <c r="G7" s="1724"/>
      <c r="H7" s="1724"/>
      <c r="I7" s="1724"/>
      <c r="J7" s="1725"/>
    </row>
    <row r="8" spans="1:10" ht="16" thickBot="1">
      <c r="A8" s="1820" t="s">
        <v>401</v>
      </c>
      <c r="B8" s="1821"/>
      <c r="C8" s="1821"/>
      <c r="D8" s="1821"/>
      <c r="E8" s="1821"/>
      <c r="F8" s="1821"/>
      <c r="G8" s="1821"/>
      <c r="H8" s="1821"/>
      <c r="I8" s="1821"/>
      <c r="J8" s="1822"/>
    </row>
    <row r="9" spans="1:10" ht="16" customHeight="1" thickBot="1">
      <c r="A9" s="1823" t="s">
        <v>412</v>
      </c>
      <c r="B9" s="1824"/>
      <c r="C9" s="1824"/>
      <c r="D9" s="1824"/>
      <c r="E9" s="1824"/>
      <c r="F9" s="1825"/>
      <c r="G9" s="1823" t="s">
        <v>168</v>
      </c>
      <c r="H9" s="1824"/>
      <c r="I9" s="1824"/>
      <c r="J9" s="1825"/>
    </row>
    <row r="10" spans="1:10" ht="30" customHeight="1" thickBot="1">
      <c r="A10" s="735" t="s">
        <v>57</v>
      </c>
      <c r="B10" s="736" t="s">
        <v>75</v>
      </c>
      <c r="C10" s="737" t="s">
        <v>76</v>
      </c>
      <c r="D10" s="737" t="s">
        <v>77</v>
      </c>
      <c r="E10" s="737" t="s">
        <v>78</v>
      </c>
      <c r="F10" s="738" t="s">
        <v>79</v>
      </c>
      <c r="G10" s="735" t="s">
        <v>185</v>
      </c>
      <c r="H10" s="755" t="s">
        <v>186</v>
      </c>
      <c r="I10" s="750" t="s">
        <v>187</v>
      </c>
      <c r="J10" s="848">
        <v>0.17299999999999999</v>
      </c>
    </row>
    <row r="11" spans="1:10" ht="16" customHeight="1">
      <c r="A11" s="352">
        <v>9</v>
      </c>
      <c r="B11" s="732">
        <f>'Statens skalatrin'!D31</f>
        <v>21561.58</v>
      </c>
      <c r="C11" s="733">
        <f>'Statens skalatrin'!F31</f>
        <v>21991.75</v>
      </c>
      <c r="D11" s="733">
        <f>'Statens skalatrin'!H31</f>
        <v>22289.83</v>
      </c>
      <c r="E11" s="733">
        <f>'Statens skalatrin'!J31</f>
        <v>22720</v>
      </c>
      <c r="F11" s="734">
        <f>'Statens skalatrin'!L31</f>
        <v>23018</v>
      </c>
      <c r="G11" s="846">
        <f>'Statens skalatrin'!O31</f>
        <v>20074.310000000001</v>
      </c>
      <c r="H11" s="849">
        <f>J11*1/3</f>
        <v>1157.6200000000001</v>
      </c>
      <c r="I11" s="850">
        <f>J11*2/3</f>
        <v>2315.2400000000002</v>
      </c>
      <c r="J11" s="851">
        <f>ROUND(G11*$J$10,2)</f>
        <v>3472.86</v>
      </c>
    </row>
    <row r="12" spans="1:10" ht="16" customHeight="1">
      <c r="A12" s="731">
        <v>10</v>
      </c>
      <c r="B12" s="729">
        <f>'Statens skalatrin'!D34</f>
        <v>21923.75</v>
      </c>
      <c r="C12" s="715">
        <f>'Statens skalatrin'!F34</f>
        <v>22364.83</v>
      </c>
      <c r="D12" s="715">
        <f>'Statens skalatrin'!H34</f>
        <v>22670.17</v>
      </c>
      <c r="E12" s="715">
        <f>'Statens skalatrin'!J34</f>
        <v>23111.17</v>
      </c>
      <c r="F12" s="720">
        <f>'Statens skalatrin'!L34</f>
        <v>23416.67</v>
      </c>
      <c r="G12" s="694">
        <f>'Statens skalatrin'!O34</f>
        <v>20413.84</v>
      </c>
      <c r="H12" s="852">
        <f t="shared" ref="H12:H16" si="0">J12*1/3</f>
        <v>1177.1966666666667</v>
      </c>
      <c r="I12" s="714">
        <f t="shared" ref="I12:I16" si="1">J12*2/3</f>
        <v>2354.3933333333334</v>
      </c>
      <c r="J12" s="739">
        <f t="shared" ref="J12:J16" si="2">ROUND(G12*$J$10,2)</f>
        <v>3531.59</v>
      </c>
    </row>
    <row r="13" spans="1:10" ht="16" customHeight="1">
      <c r="A13" s="731">
        <v>11</v>
      </c>
      <c r="B13" s="729">
        <f>'Statens skalatrin'!D37</f>
        <v>22209.5</v>
      </c>
      <c r="C13" s="715">
        <f>'Statens skalatrin'!F37</f>
        <v>22661.5</v>
      </c>
      <c r="D13" s="715">
        <f>'Statens skalatrin'!H37</f>
        <v>22974.5</v>
      </c>
      <c r="E13" s="715">
        <f>'Statens skalatrin'!J37</f>
        <v>23426.58</v>
      </c>
      <c r="F13" s="720">
        <f>'Statens skalatrin'!L37</f>
        <v>23739.42</v>
      </c>
      <c r="G13" s="694">
        <f>'Statens skalatrin'!O37</f>
        <v>20762.64</v>
      </c>
      <c r="H13" s="852">
        <f t="shared" si="0"/>
        <v>1197.3133333333333</v>
      </c>
      <c r="I13" s="714">
        <f t="shared" si="1"/>
        <v>2394.6266666666666</v>
      </c>
      <c r="J13" s="739">
        <f t="shared" si="2"/>
        <v>3591.94</v>
      </c>
    </row>
    <row r="14" spans="1:10" ht="16" customHeight="1">
      <c r="A14" s="731">
        <v>12</v>
      </c>
      <c r="B14" s="729">
        <f>'Statens skalatrin'!D40</f>
        <v>22591.83</v>
      </c>
      <c r="C14" s="715">
        <f>'Statens skalatrin'!F40</f>
        <v>23055.25</v>
      </c>
      <c r="D14" s="715">
        <f>'Statens skalatrin'!H40</f>
        <v>23376.33</v>
      </c>
      <c r="E14" s="715">
        <f>'Statens skalatrin'!J40</f>
        <v>23839.5</v>
      </c>
      <c r="F14" s="720">
        <f>'Statens skalatrin'!L40</f>
        <v>24160.33</v>
      </c>
      <c r="G14" s="694">
        <f>'Statens skalatrin'!O40</f>
        <v>21121.09</v>
      </c>
      <c r="H14" s="852">
        <f t="shared" si="0"/>
        <v>1217.9833333333333</v>
      </c>
      <c r="I14" s="714">
        <f t="shared" si="1"/>
        <v>2435.9666666666667</v>
      </c>
      <c r="J14" s="739">
        <f t="shared" si="2"/>
        <v>3653.95</v>
      </c>
    </row>
    <row r="15" spans="1:10" ht="16" customHeight="1">
      <c r="A15" s="731">
        <v>13</v>
      </c>
      <c r="B15" s="729">
        <f>'Statens skalatrin'!D43</f>
        <v>22985</v>
      </c>
      <c r="C15" s="715">
        <f>'Statens skalatrin'!F43</f>
        <v>23460.080000000002</v>
      </c>
      <c r="D15" s="715">
        <f>'Statens skalatrin'!H43</f>
        <v>23788.83</v>
      </c>
      <c r="E15" s="715">
        <f>'Statens skalatrin'!J43</f>
        <v>24264.080000000002</v>
      </c>
      <c r="F15" s="720">
        <f>'Statens skalatrin'!L43</f>
        <v>24592.83</v>
      </c>
      <c r="G15" s="694">
        <f>'Statens skalatrin'!O43</f>
        <v>21489.360000000001</v>
      </c>
      <c r="H15" s="852">
        <f t="shared" si="0"/>
        <v>1239.22</v>
      </c>
      <c r="I15" s="714">
        <f t="shared" si="1"/>
        <v>2478.44</v>
      </c>
      <c r="J15" s="739">
        <f t="shared" si="2"/>
        <v>3717.66</v>
      </c>
    </row>
    <row r="16" spans="1:10" ht="16" customHeight="1" thickBot="1">
      <c r="A16" s="294">
        <v>14</v>
      </c>
      <c r="B16" s="730">
        <f>'Statens skalatrin'!D46</f>
        <v>23388.83</v>
      </c>
      <c r="C16" s="723">
        <f>'Statens skalatrin'!F46</f>
        <v>23875.919999999998</v>
      </c>
      <c r="D16" s="723">
        <f>'Statens skalatrin'!H46</f>
        <v>24213.08</v>
      </c>
      <c r="E16" s="723">
        <f>'Statens skalatrin'!J46</f>
        <v>24700</v>
      </c>
      <c r="F16" s="724">
        <f>'Statens skalatrin'!L46</f>
        <v>25037.17</v>
      </c>
      <c r="G16" s="847">
        <f>'Statens skalatrin'!O46</f>
        <v>21867.83</v>
      </c>
      <c r="H16" s="853">
        <f t="shared" si="0"/>
        <v>1261.0433333333333</v>
      </c>
      <c r="I16" s="725">
        <f t="shared" si="1"/>
        <v>2522.0866666666666</v>
      </c>
      <c r="J16" s="854">
        <f t="shared" si="2"/>
        <v>3783.13</v>
      </c>
    </row>
    <row r="17" spans="1:11" ht="15" customHeight="1" thickBot="1">
      <c r="A17" s="801"/>
      <c r="B17" s="778"/>
      <c r="C17" s="726"/>
      <c r="D17" s="726"/>
      <c r="E17" s="726"/>
      <c r="F17" s="726"/>
      <c r="G17" s="742"/>
      <c r="H17" s="727"/>
      <c r="I17" s="727"/>
      <c r="J17" s="727"/>
      <c r="K17" s="727"/>
    </row>
    <row r="18" spans="1:11" ht="20" customHeight="1">
      <c r="A18" s="1723" t="s">
        <v>402</v>
      </c>
      <c r="B18" s="1724"/>
      <c r="C18" s="1724"/>
      <c r="D18" s="1724"/>
      <c r="E18" s="1724"/>
      <c r="F18" s="1724"/>
      <c r="G18" s="1724"/>
      <c r="H18" s="1724"/>
      <c r="I18" s="1724"/>
      <c r="J18" s="1725"/>
    </row>
    <row r="19" spans="1:11" ht="20" customHeight="1" thickBot="1">
      <c r="A19" s="1820" t="s">
        <v>401</v>
      </c>
      <c r="B19" s="1821"/>
      <c r="C19" s="1821"/>
      <c r="D19" s="1821"/>
      <c r="E19" s="1821"/>
      <c r="F19" s="1821"/>
      <c r="G19" s="1821"/>
      <c r="H19" s="1821"/>
      <c r="I19" s="1821"/>
      <c r="J19" s="1822"/>
    </row>
    <row r="20" spans="1:11" ht="20" customHeight="1" thickBot="1">
      <c r="A20" s="1823" t="s">
        <v>412</v>
      </c>
      <c r="B20" s="1824"/>
      <c r="C20" s="1824"/>
      <c r="D20" s="1824"/>
      <c r="E20" s="1824"/>
      <c r="F20" s="1825"/>
      <c r="G20" s="1823" t="s">
        <v>168</v>
      </c>
      <c r="H20" s="1826"/>
      <c r="I20" s="1826"/>
      <c r="J20" s="1827"/>
    </row>
    <row r="21" spans="1:11" ht="30" customHeight="1" thickBot="1">
      <c r="A21" s="735" t="s">
        <v>57</v>
      </c>
      <c r="B21" s="755" t="s">
        <v>75</v>
      </c>
      <c r="C21" s="750" t="s">
        <v>76</v>
      </c>
      <c r="D21" s="750" t="s">
        <v>77</v>
      </c>
      <c r="E21" s="750" t="s">
        <v>78</v>
      </c>
      <c r="F21" s="751" t="s">
        <v>79</v>
      </c>
      <c r="G21" s="435" t="s">
        <v>185</v>
      </c>
      <c r="H21" s="740" t="s">
        <v>186</v>
      </c>
      <c r="I21" s="737" t="s">
        <v>187</v>
      </c>
      <c r="J21" s="741">
        <f>J10</f>
        <v>0.17299999999999999</v>
      </c>
    </row>
    <row r="22" spans="1:11" ht="16" customHeight="1">
      <c r="A22" s="743">
        <v>16</v>
      </c>
      <c r="B22" s="752">
        <f>'Statens skalatrin'!D52</f>
        <v>24121.67</v>
      </c>
      <c r="C22" s="753">
        <f>'Statens skalatrin'!F52</f>
        <v>24633.67</v>
      </c>
      <c r="D22" s="753">
        <f>'Statens skalatrin'!H52</f>
        <v>24988.17</v>
      </c>
      <c r="E22" s="753">
        <f>'Statens skalatrin'!J52</f>
        <v>25500</v>
      </c>
      <c r="F22" s="754">
        <f>'Statens skalatrin'!L52</f>
        <v>25854.5</v>
      </c>
      <c r="G22" s="747">
        <f>'Statens skalatrin'!O52</f>
        <v>22656.12</v>
      </c>
      <c r="H22" s="849">
        <f>J22*1/3</f>
        <v>1306.5033333333333</v>
      </c>
      <c r="I22" s="850">
        <f>J22*2/3</f>
        <v>2613.0066666666667</v>
      </c>
      <c r="J22" s="851">
        <f>ROUND(G22*$J$10,2)</f>
        <v>3919.51</v>
      </c>
    </row>
    <row r="23" spans="1:11" ht="16" customHeight="1">
      <c r="A23" s="718">
        <v>18</v>
      </c>
      <c r="B23" s="719">
        <f>'Statens skalatrin'!D58</f>
        <v>25009.919999999998</v>
      </c>
      <c r="C23" s="715">
        <f>'Statens skalatrin'!F58</f>
        <v>25548.25</v>
      </c>
      <c r="D23" s="715">
        <f>'Statens skalatrin'!H58</f>
        <v>25920.92</v>
      </c>
      <c r="E23" s="715">
        <f>'Statens skalatrin'!J58</f>
        <v>26459.17</v>
      </c>
      <c r="F23" s="720">
        <f>'Statens skalatrin'!L58</f>
        <v>26831.67</v>
      </c>
      <c r="G23" s="748">
        <f>'Statens skalatrin'!O58</f>
        <v>23488.35</v>
      </c>
      <c r="H23" s="852">
        <f t="shared" ref="H23:H27" si="3">J23*1/3</f>
        <v>1354.4933333333333</v>
      </c>
      <c r="I23" s="714">
        <f t="shared" ref="I23:I27" si="4">J23*2/3</f>
        <v>2708.9866666666667</v>
      </c>
      <c r="J23" s="739">
        <f t="shared" ref="J23:J27" si="5">ROUND(G23*$J$10,2)</f>
        <v>4063.48</v>
      </c>
    </row>
    <row r="24" spans="1:11" s="530" customFormat="1" ht="16" customHeight="1">
      <c r="A24" s="718">
        <v>20</v>
      </c>
      <c r="B24" s="719">
        <f>'Statens skalatrin'!D64</f>
        <v>25694.92</v>
      </c>
      <c r="C24" s="715">
        <f>'Statens skalatrin'!F64</f>
        <v>26260.83</v>
      </c>
      <c r="D24" s="715">
        <f>'Statens skalatrin'!H64</f>
        <v>26652.75</v>
      </c>
      <c r="E24" s="715">
        <f>'Statens skalatrin'!J64</f>
        <v>27218.75</v>
      </c>
      <c r="F24" s="720">
        <f>'Statens skalatrin'!L64</f>
        <v>27610.42</v>
      </c>
      <c r="G24" s="748">
        <f>'Statens skalatrin'!O64</f>
        <v>24366.95</v>
      </c>
      <c r="H24" s="852">
        <f t="shared" si="3"/>
        <v>1405.1599999999999</v>
      </c>
      <c r="I24" s="714">
        <f t="shared" si="4"/>
        <v>2810.3199999999997</v>
      </c>
      <c r="J24" s="739">
        <f t="shared" si="5"/>
        <v>4215.4799999999996</v>
      </c>
    </row>
    <row r="25" spans="1:11" s="530" customFormat="1" ht="16" customHeight="1">
      <c r="A25" s="718">
        <v>22</v>
      </c>
      <c r="B25" s="719">
        <f>'Statens skalatrin'!D70</f>
        <v>26514.33</v>
      </c>
      <c r="C25" s="715">
        <f>'Statens skalatrin'!F70</f>
        <v>27094.83</v>
      </c>
      <c r="D25" s="715">
        <f>'Statens skalatrin'!H70</f>
        <v>27496.67</v>
      </c>
      <c r="E25" s="715">
        <f>'Statens skalatrin'!J70</f>
        <v>28077.17</v>
      </c>
      <c r="F25" s="720">
        <f>'Statens skalatrin'!L70</f>
        <v>28479.08</v>
      </c>
      <c r="G25" s="748">
        <f>'Statens skalatrin'!O70</f>
        <v>25281.87</v>
      </c>
      <c r="H25" s="852">
        <f t="shared" si="3"/>
        <v>1457.92</v>
      </c>
      <c r="I25" s="714">
        <f t="shared" si="4"/>
        <v>2915.84</v>
      </c>
      <c r="J25" s="739">
        <f t="shared" si="5"/>
        <v>4373.76</v>
      </c>
    </row>
    <row r="26" spans="1:11" ht="16" customHeight="1">
      <c r="A26" s="718">
        <v>24</v>
      </c>
      <c r="B26" s="719">
        <f>'Statens skalatrin'!D76</f>
        <v>27371.83</v>
      </c>
      <c r="C26" s="715">
        <f>'Statens skalatrin'!F76</f>
        <v>27920.33</v>
      </c>
      <c r="D26" s="715">
        <f>'Statens skalatrin'!H76</f>
        <v>28300.17</v>
      </c>
      <c r="E26" s="715">
        <f>'Statens skalatrin'!J76</f>
        <v>28848.75</v>
      </c>
      <c r="F26" s="720">
        <f>'Statens skalatrin'!L76</f>
        <v>29228.58</v>
      </c>
      <c r="G26" s="748">
        <f>'Statens skalatrin'!O76</f>
        <v>26207.17</v>
      </c>
      <c r="H26" s="852">
        <f t="shared" si="3"/>
        <v>1511.28</v>
      </c>
      <c r="I26" s="714">
        <f t="shared" si="4"/>
        <v>3022.56</v>
      </c>
      <c r="J26" s="739">
        <f t="shared" si="5"/>
        <v>4533.84</v>
      </c>
    </row>
    <row r="27" spans="1:11" ht="16" customHeight="1" thickBot="1">
      <c r="A27" s="728">
        <v>26</v>
      </c>
      <c r="B27" s="722">
        <f>'Statens skalatrin'!D82</f>
        <v>28271.919999999998</v>
      </c>
      <c r="C27" s="723">
        <f>'Statens skalatrin'!F82</f>
        <v>28784.83</v>
      </c>
      <c r="D27" s="723">
        <f>'Statens skalatrin'!H82</f>
        <v>29140.080000000002</v>
      </c>
      <c r="E27" s="723">
        <f>'Statens skalatrin'!J82</f>
        <v>29653.17</v>
      </c>
      <c r="F27" s="724">
        <f>'Statens skalatrin'!L82</f>
        <v>30008.25</v>
      </c>
      <c r="G27" s="749">
        <f>'Statens skalatrin'!O82</f>
        <v>27182.41</v>
      </c>
      <c r="H27" s="853">
        <f t="shared" si="3"/>
        <v>1567.5200000000002</v>
      </c>
      <c r="I27" s="725">
        <f t="shared" si="4"/>
        <v>3135.0400000000004</v>
      </c>
      <c r="J27" s="854">
        <f t="shared" si="5"/>
        <v>4702.5600000000004</v>
      </c>
    </row>
    <row r="28" spans="1:11" ht="20" customHeight="1" thickBot="1">
      <c r="A28" s="802"/>
      <c r="B28" s="779"/>
      <c r="C28" s="726"/>
      <c r="D28" s="726"/>
      <c r="E28" s="726"/>
      <c r="F28" s="726"/>
      <c r="G28" s="726"/>
      <c r="H28" s="726"/>
      <c r="I28" s="727"/>
      <c r="J28" s="727"/>
      <c r="K28" s="727"/>
    </row>
    <row r="29" spans="1:11" ht="20" customHeight="1">
      <c r="A29" s="1723" t="s">
        <v>403</v>
      </c>
      <c r="B29" s="1724"/>
      <c r="C29" s="1724"/>
      <c r="D29" s="1724"/>
      <c r="E29" s="1724"/>
      <c r="F29" s="1724"/>
      <c r="G29" s="1724"/>
      <c r="H29" s="1724"/>
      <c r="I29" s="1724"/>
      <c r="J29" s="1725"/>
    </row>
    <row r="30" spans="1:11" ht="20" customHeight="1" thickBot="1">
      <c r="A30" s="1820" t="s">
        <v>401</v>
      </c>
      <c r="B30" s="1821"/>
      <c r="C30" s="1821"/>
      <c r="D30" s="1821"/>
      <c r="E30" s="1821"/>
      <c r="F30" s="1821"/>
      <c r="G30" s="1821"/>
      <c r="H30" s="1821"/>
      <c r="I30" s="1821"/>
      <c r="J30" s="1822"/>
    </row>
    <row r="31" spans="1:11" s="253" customFormat="1" ht="20" customHeight="1" thickBot="1">
      <c r="A31" s="1823" t="s">
        <v>412</v>
      </c>
      <c r="B31" s="1824"/>
      <c r="C31" s="1824"/>
      <c r="D31" s="1824"/>
      <c r="E31" s="1824"/>
      <c r="F31" s="1825"/>
      <c r="G31" s="1823" t="s">
        <v>168</v>
      </c>
      <c r="H31" s="1824"/>
      <c r="I31" s="1824"/>
      <c r="J31" s="1825"/>
    </row>
    <row r="32" spans="1:11" ht="30" customHeight="1" thickBot="1">
      <c r="A32" s="435" t="s">
        <v>57</v>
      </c>
      <c r="B32" s="740" t="s">
        <v>75</v>
      </c>
      <c r="C32" s="737" t="s">
        <v>76</v>
      </c>
      <c r="D32" s="737" t="s">
        <v>77</v>
      </c>
      <c r="E32" s="737" t="s">
        <v>78</v>
      </c>
      <c r="F32" s="745" t="s">
        <v>79</v>
      </c>
      <c r="G32" s="735" t="s">
        <v>185</v>
      </c>
      <c r="H32" s="758" t="s">
        <v>186</v>
      </c>
      <c r="I32" s="735" t="s">
        <v>187</v>
      </c>
      <c r="J32" s="759">
        <f>J10</f>
        <v>0.17299999999999999</v>
      </c>
    </row>
    <row r="33" spans="1:11" ht="16" customHeight="1">
      <c r="A33" s="731">
        <v>27</v>
      </c>
      <c r="B33" s="732">
        <f>'Statens skalatrin'!D85</f>
        <v>28736.83</v>
      </c>
      <c r="C33" s="733">
        <f>'Statens skalatrin'!F85</f>
        <v>29230.080000000002</v>
      </c>
      <c r="D33" s="733">
        <f>'Statens skalatrin'!H85</f>
        <v>29571.919999999998</v>
      </c>
      <c r="E33" s="733">
        <f>'Statens skalatrin'!J85</f>
        <v>30065.25</v>
      </c>
      <c r="F33" s="746">
        <f>'Statens skalatrin'!L85</f>
        <v>30406.92</v>
      </c>
      <c r="G33" s="757">
        <f>'Statens skalatrin'!O85</f>
        <v>27689.14</v>
      </c>
      <c r="H33" s="849">
        <f>J33*1/3</f>
        <v>1596.74</v>
      </c>
      <c r="I33" s="850">
        <f>J33*2/3</f>
        <v>3193.48</v>
      </c>
      <c r="J33" s="851">
        <f>ROUND(G33*$J$10,2)</f>
        <v>4790.22</v>
      </c>
    </row>
    <row r="34" spans="1:11" ht="16" customHeight="1">
      <c r="A34" s="731">
        <v>29</v>
      </c>
      <c r="B34" s="729">
        <f>'Statens skalatrin'!D91</f>
        <v>29698.5</v>
      </c>
      <c r="C34" s="715">
        <f>'Statens skalatrin'!F91</f>
        <v>30148.58</v>
      </c>
      <c r="D34" s="715">
        <f>'Statens skalatrin'!H91</f>
        <v>30460.25</v>
      </c>
      <c r="E34" s="715">
        <f>'Statens skalatrin'!J91</f>
        <v>30910.33</v>
      </c>
      <c r="F34" s="756">
        <f>'Statens skalatrin'!L91</f>
        <v>31221.83</v>
      </c>
      <c r="G34" s="583">
        <f>'Statens skalatrin'!O91</f>
        <v>28742.93</v>
      </c>
      <c r="H34" s="852">
        <f t="shared" ref="H34:H36" si="6">J34*1/3</f>
        <v>1657.51</v>
      </c>
      <c r="I34" s="714">
        <f t="shared" ref="I34:I36" si="7">J34*2/3</f>
        <v>3315.02</v>
      </c>
      <c r="J34" s="739">
        <f t="shared" ref="J34:J36" si="8">ROUND(G34*$J$10,2)</f>
        <v>4972.53</v>
      </c>
    </row>
    <row r="35" spans="1:11" ht="16" customHeight="1">
      <c r="A35" s="731">
        <v>31</v>
      </c>
      <c r="B35" s="729">
        <f>'Statens skalatrin'!D97</f>
        <v>30703.58</v>
      </c>
      <c r="C35" s="715">
        <f>'Statens skalatrin'!F97</f>
        <v>31104.42</v>
      </c>
      <c r="D35" s="715">
        <f>'Statens skalatrin'!H97</f>
        <v>31382.080000000002</v>
      </c>
      <c r="E35" s="715">
        <f>'Statens skalatrin'!J97</f>
        <v>31782.92</v>
      </c>
      <c r="F35" s="756">
        <f>'Statens skalatrin'!L97</f>
        <v>32060.5</v>
      </c>
      <c r="G35" s="583">
        <f>'Statens skalatrin'!O97</f>
        <v>29852.47</v>
      </c>
      <c r="H35" s="852">
        <f t="shared" si="6"/>
        <v>1721.4933333333331</v>
      </c>
      <c r="I35" s="714">
        <f t="shared" si="7"/>
        <v>3442.9866666666662</v>
      </c>
      <c r="J35" s="739">
        <f t="shared" si="8"/>
        <v>5164.4799999999996</v>
      </c>
    </row>
    <row r="36" spans="1:11" s="530" customFormat="1" ht="16" customHeight="1" thickBot="1">
      <c r="A36" s="294">
        <v>33</v>
      </c>
      <c r="B36" s="760">
        <f>'Statens skalatrin'!D103</f>
        <v>31753.83</v>
      </c>
      <c r="C36" s="716">
        <f>'Statens skalatrin'!F103</f>
        <v>32099</v>
      </c>
      <c r="D36" s="716">
        <f>'Statens skalatrin'!H103</f>
        <v>32338.25</v>
      </c>
      <c r="E36" s="716">
        <f>'Statens skalatrin'!J103</f>
        <v>32683.5</v>
      </c>
      <c r="F36" s="761">
        <f>'Statens skalatrin'!L103</f>
        <v>32922.58</v>
      </c>
      <c r="G36" s="584">
        <f>'Statens skalatrin'!O103</f>
        <v>31020.75</v>
      </c>
      <c r="H36" s="855">
        <f t="shared" si="6"/>
        <v>1788.8633333333335</v>
      </c>
      <c r="I36" s="717">
        <f t="shared" si="7"/>
        <v>3577.7266666666669</v>
      </c>
      <c r="J36" s="854">
        <f t="shared" si="8"/>
        <v>5366.59</v>
      </c>
    </row>
    <row r="37" spans="1:11" s="762" customFormat="1" ht="20" customHeight="1" thickBot="1">
      <c r="A37" s="802"/>
      <c r="B37" s="779"/>
      <c r="C37" s="726"/>
      <c r="D37" s="726"/>
      <c r="E37" s="726"/>
      <c r="F37" s="726"/>
      <c r="G37" s="726"/>
      <c r="H37" s="726"/>
      <c r="I37" s="727"/>
      <c r="J37" s="727"/>
      <c r="K37" s="727"/>
    </row>
    <row r="38" spans="1:11" s="530" customFormat="1" ht="20" customHeight="1">
      <c r="A38" s="1723" t="s">
        <v>404</v>
      </c>
      <c r="B38" s="1724"/>
      <c r="C38" s="1724"/>
      <c r="D38" s="1724"/>
      <c r="E38" s="1724"/>
      <c r="F38" s="1724"/>
      <c r="G38" s="1724"/>
      <c r="H38" s="1724"/>
      <c r="I38" s="1724"/>
      <c r="J38" s="1725"/>
    </row>
    <row r="39" spans="1:11" ht="20" customHeight="1" thickBot="1">
      <c r="A39" s="1820" t="s">
        <v>401</v>
      </c>
      <c r="B39" s="1821"/>
      <c r="C39" s="1821"/>
      <c r="D39" s="1821"/>
      <c r="E39" s="1821"/>
      <c r="F39" s="1821"/>
      <c r="G39" s="1821"/>
      <c r="H39" s="1821"/>
      <c r="I39" s="1821"/>
      <c r="J39" s="1822"/>
    </row>
    <row r="40" spans="1:11" ht="20" customHeight="1" thickBot="1">
      <c r="A40" s="1823" t="s">
        <v>412</v>
      </c>
      <c r="B40" s="1824"/>
      <c r="C40" s="1824"/>
      <c r="D40" s="1824"/>
      <c r="E40" s="1824"/>
      <c r="F40" s="1825"/>
      <c r="G40" s="1823" t="s">
        <v>168</v>
      </c>
      <c r="H40" s="1824"/>
      <c r="I40" s="1824"/>
      <c r="J40" s="1825"/>
    </row>
    <row r="41" spans="1:11" ht="30" customHeight="1" thickBot="1">
      <c r="A41" s="435" t="s">
        <v>57</v>
      </c>
      <c r="B41" s="740" t="s">
        <v>75</v>
      </c>
      <c r="C41" s="737" t="s">
        <v>76</v>
      </c>
      <c r="D41" s="737" t="s">
        <v>77</v>
      </c>
      <c r="E41" s="737" t="s">
        <v>78</v>
      </c>
      <c r="F41" s="738" t="s">
        <v>79</v>
      </c>
      <c r="G41" s="758" t="s">
        <v>185</v>
      </c>
      <c r="H41" s="758" t="s">
        <v>186</v>
      </c>
      <c r="I41" s="735" t="s">
        <v>187</v>
      </c>
      <c r="J41" s="759">
        <f>J10</f>
        <v>0.17299999999999999</v>
      </c>
    </row>
    <row r="42" spans="1:11" s="237" customFormat="1" ht="16" customHeight="1">
      <c r="A42" s="731">
        <v>34</v>
      </c>
      <c r="B42" s="744">
        <f>'Statens skalatrin'!D106</f>
        <v>32296.58</v>
      </c>
      <c r="C42" s="732">
        <f>'Statens skalatrin'!F106</f>
        <v>32611.58</v>
      </c>
      <c r="D42" s="732">
        <f>'Statens skalatrin'!H106</f>
        <v>32829.58</v>
      </c>
      <c r="E42" s="732">
        <f>'Statens skalatrin'!J106</f>
        <v>33144.33</v>
      </c>
      <c r="F42" s="765">
        <f>'Statens skalatrin'!L106</f>
        <v>33362.42</v>
      </c>
      <c r="G42" s="769">
        <f>'Statens skalatrin'!O106</f>
        <v>31627.919999999998</v>
      </c>
      <c r="H42" s="849">
        <f>J42*1/3</f>
        <v>1823.8766666666668</v>
      </c>
      <c r="I42" s="850">
        <f>J42*2/3</f>
        <v>3647.7533333333336</v>
      </c>
      <c r="J42" s="851">
        <f>ROUND(G42*$J$10,2)</f>
        <v>5471.63</v>
      </c>
    </row>
    <row r="43" spans="1:11" s="237" customFormat="1" ht="16" customHeight="1">
      <c r="A43" s="731">
        <v>36</v>
      </c>
      <c r="B43" s="719">
        <f>'Statens skalatrin'!D112</f>
        <v>33418.33</v>
      </c>
      <c r="C43" s="729">
        <f>'Statens skalatrin'!F112</f>
        <v>33667</v>
      </c>
      <c r="D43" s="729">
        <f>'Statens skalatrin'!H112</f>
        <v>33839.25</v>
      </c>
      <c r="E43" s="729">
        <f>'Statens skalatrin'!J112</f>
        <v>34088</v>
      </c>
      <c r="F43" s="748">
        <f>'Statens skalatrin'!L112</f>
        <v>34260.080000000002</v>
      </c>
      <c r="G43" s="583">
        <f>'Statens skalatrin'!O112</f>
        <v>32890.21</v>
      </c>
      <c r="H43" s="852">
        <f t="shared" ref="H43:H46" si="9">J43*1/3</f>
        <v>1896.67</v>
      </c>
      <c r="I43" s="714">
        <f t="shared" ref="I43:I46" si="10">J43*2/3</f>
        <v>3793.34</v>
      </c>
      <c r="J43" s="739">
        <f t="shared" ref="J43:J46" si="11">ROUND(G43*$J$10,2)</f>
        <v>5690.01</v>
      </c>
    </row>
    <row r="44" spans="1:11" s="237" customFormat="1" ht="16" customHeight="1">
      <c r="A44" s="731">
        <v>40</v>
      </c>
      <c r="B44" s="719">
        <f>'Statens skalatrin'!D124</f>
        <v>35859</v>
      </c>
      <c r="C44" s="729">
        <f>'Statens skalatrin'!F124</f>
        <v>35952.75</v>
      </c>
      <c r="D44" s="729">
        <f>'Statens skalatrin'!H124</f>
        <v>36017.67</v>
      </c>
      <c r="E44" s="729">
        <f>'Statens skalatrin'!J124</f>
        <v>36111.42</v>
      </c>
      <c r="F44" s="748">
        <f>'Statens skalatrin'!L124</f>
        <v>36176.33</v>
      </c>
      <c r="G44" s="583">
        <f>'Statens skalatrin'!O124</f>
        <v>35659.82</v>
      </c>
      <c r="H44" s="852">
        <f t="shared" si="9"/>
        <v>2056.3833333333332</v>
      </c>
      <c r="I44" s="714">
        <f t="shared" si="10"/>
        <v>4112.7666666666664</v>
      </c>
      <c r="J44" s="739">
        <f t="shared" si="11"/>
        <v>6169.15</v>
      </c>
    </row>
    <row r="45" spans="1:11" s="237" customFormat="1" ht="16" customHeight="1">
      <c r="A45" s="763">
        <v>42</v>
      </c>
      <c r="B45" s="766">
        <f>'Statens skalatrin'!D130</f>
        <v>37163.42</v>
      </c>
      <c r="C45" s="764">
        <f>'Statens skalatrin'!F130</f>
        <v>37163.42</v>
      </c>
      <c r="D45" s="764">
        <f>'Statens skalatrin'!H130</f>
        <v>37163.42</v>
      </c>
      <c r="E45" s="764">
        <f>'Statens skalatrin'!J130</f>
        <v>37163.42</v>
      </c>
      <c r="F45" s="767">
        <f>'Statens skalatrin'!L130</f>
        <v>37163.42</v>
      </c>
      <c r="G45" s="713">
        <f>'Statens skalatrin'!O130</f>
        <v>37163.35</v>
      </c>
      <c r="H45" s="852">
        <f t="shared" si="9"/>
        <v>2143.0866666666666</v>
      </c>
      <c r="I45" s="714">
        <f t="shared" si="10"/>
        <v>4286.1733333333332</v>
      </c>
      <c r="J45" s="739">
        <f t="shared" si="11"/>
        <v>6429.26</v>
      </c>
    </row>
    <row r="46" spans="1:11" ht="16" customHeight="1" thickBot="1">
      <c r="A46" s="294">
        <v>43</v>
      </c>
      <c r="B46" s="721">
        <f>'Statens skalatrin'!D133</f>
        <v>37988.5</v>
      </c>
      <c r="C46" s="760">
        <f>'Statens skalatrin'!F133</f>
        <v>37988.5</v>
      </c>
      <c r="D46" s="760">
        <f>'Statens skalatrin'!H133</f>
        <v>37988.5</v>
      </c>
      <c r="E46" s="760">
        <f>'Statens skalatrin'!J133</f>
        <v>37988.5</v>
      </c>
      <c r="F46" s="768">
        <f>'Statens skalatrin'!L133</f>
        <v>37988.5</v>
      </c>
      <c r="G46" s="584">
        <f>'Statens skalatrin'!O133</f>
        <v>37988.42</v>
      </c>
      <c r="H46" s="855">
        <f t="shared" si="9"/>
        <v>2190.6666666666665</v>
      </c>
      <c r="I46" s="717">
        <f t="shared" si="10"/>
        <v>4381.333333333333</v>
      </c>
      <c r="J46" s="854">
        <f t="shared" si="11"/>
        <v>6572</v>
      </c>
    </row>
    <row r="47" spans="1:11" s="253" customFormat="1" ht="20" customHeight="1" thickBot="1">
      <c r="A47" s="802"/>
      <c r="B47" s="779"/>
      <c r="C47" s="726"/>
      <c r="D47" s="726"/>
      <c r="E47" s="726"/>
      <c r="F47" s="726"/>
      <c r="G47" s="742"/>
      <c r="H47" s="726"/>
      <c r="I47" s="727"/>
      <c r="J47" s="727"/>
      <c r="K47" s="727"/>
    </row>
    <row r="48" spans="1:11" ht="20" customHeight="1">
      <c r="A48" s="1058" t="s">
        <v>191</v>
      </c>
      <c r="B48" s="1212"/>
      <c r="C48" s="1212"/>
      <c r="D48" s="1212"/>
      <c r="E48" s="1212"/>
      <c r="F48" s="1212"/>
      <c r="G48" s="1212"/>
      <c r="H48" s="1212"/>
      <c r="I48" s="1212"/>
      <c r="J48" s="1213"/>
    </row>
    <row r="49" spans="1:11" ht="17" customHeight="1" thickBot="1">
      <c r="A49" s="1828" t="s">
        <v>284</v>
      </c>
      <c r="B49" s="1829"/>
      <c r="C49" s="1829"/>
      <c r="D49" s="1829"/>
      <c r="E49" s="1829"/>
      <c r="F49" s="1829"/>
      <c r="G49" s="1829"/>
      <c r="H49" s="1829"/>
      <c r="I49" s="1829"/>
      <c r="J49" s="1830"/>
    </row>
    <row r="50" spans="1:11" ht="15.5">
      <c r="A50" s="770"/>
      <c r="B50" s="771"/>
      <c r="C50" s="771"/>
      <c r="D50" s="771"/>
      <c r="E50" s="771"/>
      <c r="F50" s="774"/>
      <c r="G50" s="1837" t="s">
        <v>311</v>
      </c>
      <c r="H50" s="1838"/>
      <c r="I50" s="1837" t="s">
        <v>312</v>
      </c>
      <c r="J50" s="1838"/>
    </row>
    <row r="51" spans="1:11" ht="16" thickBot="1">
      <c r="A51" s="772"/>
      <c r="B51" s="773"/>
      <c r="C51" s="773"/>
      <c r="D51" s="773"/>
      <c r="E51" s="773"/>
      <c r="F51" s="712"/>
      <c r="G51" s="1839">
        <v>40999</v>
      </c>
      <c r="H51" s="1840"/>
      <c r="I51" s="1839" t="str">
        <f>'Løntabel gældende fra'!$D$1</f>
        <v>01-04-2025</v>
      </c>
      <c r="J51" s="1840"/>
    </row>
    <row r="52" spans="1:11" ht="16" customHeight="1" thickBot="1">
      <c r="A52" s="1831" t="s">
        <v>415</v>
      </c>
      <c r="B52" s="1832"/>
      <c r="C52" s="1832"/>
      <c r="D52" s="1832"/>
      <c r="E52" s="1832"/>
      <c r="F52" s="1833"/>
      <c r="G52" s="1841">
        <v>136.5</v>
      </c>
      <c r="H52" s="1842"/>
      <c r="I52" s="1752">
        <f>ROUND(+G52*(1+'Løntabel gældende fra'!$D$7/100),2)</f>
        <v>168.32</v>
      </c>
      <c r="J52" s="1751"/>
    </row>
    <row r="53" spans="1:11" ht="16" customHeight="1" thickBot="1">
      <c r="A53" s="1834" t="s">
        <v>405</v>
      </c>
      <c r="B53" s="1835"/>
      <c r="C53" s="1835"/>
      <c r="D53" s="1835"/>
      <c r="E53" s="1835"/>
      <c r="F53" s="1836"/>
      <c r="G53" s="1752">
        <v>186.5</v>
      </c>
      <c r="H53" s="1751"/>
      <c r="I53" s="1752">
        <f>ROUND(+G53*(1+'Løntabel gældende fra'!$D$7/100),2)</f>
        <v>229.97</v>
      </c>
      <c r="J53" s="1751"/>
    </row>
    <row r="54" spans="1:11" ht="20" customHeight="1" thickBot="1">
      <c r="A54" s="775"/>
      <c r="B54" s="490"/>
      <c r="C54" s="490"/>
      <c r="D54" s="490"/>
      <c r="E54" s="490"/>
      <c r="F54" s="490"/>
      <c r="G54" s="775"/>
      <c r="H54" s="55"/>
      <c r="I54" s="55"/>
      <c r="J54" s="55"/>
      <c r="K54" s="55"/>
    </row>
    <row r="55" spans="1:11" ht="20" customHeight="1">
      <c r="A55" s="1058" t="s">
        <v>206</v>
      </c>
      <c r="B55" s="1212"/>
      <c r="C55" s="1212"/>
      <c r="D55" s="1212"/>
      <c r="E55" s="1212"/>
      <c r="F55" s="1212"/>
      <c r="G55" s="1212"/>
      <c r="H55" s="1212"/>
      <c r="I55" s="1212"/>
      <c r="J55" s="1213"/>
    </row>
    <row r="56" spans="1:11" ht="21" customHeight="1" thickBot="1">
      <c r="A56" s="1828" t="s">
        <v>348</v>
      </c>
      <c r="B56" s="1829"/>
      <c r="C56" s="1829"/>
      <c r="D56" s="1829"/>
      <c r="E56" s="1829"/>
      <c r="F56" s="1829"/>
      <c r="G56" s="1829"/>
      <c r="H56" s="1829"/>
      <c r="I56" s="1829"/>
      <c r="J56" s="1830"/>
    </row>
    <row r="57" spans="1:11" ht="15.5">
      <c r="A57" s="770"/>
      <c r="B57" s="771"/>
      <c r="C57" s="771"/>
      <c r="D57" s="771"/>
      <c r="E57" s="771"/>
      <c r="F57" s="774"/>
      <c r="G57" s="1837" t="s">
        <v>409</v>
      </c>
      <c r="H57" s="1838"/>
      <c r="I57" s="1837" t="s">
        <v>407</v>
      </c>
      <c r="J57" s="1838"/>
    </row>
    <row r="58" spans="1:11" ht="16" thickBot="1">
      <c r="A58" s="772"/>
      <c r="B58" s="773"/>
      <c r="C58" s="773"/>
      <c r="D58" s="773"/>
      <c r="E58" s="773"/>
      <c r="F58" s="712"/>
      <c r="G58" s="1839">
        <v>40999</v>
      </c>
      <c r="H58" s="1840"/>
      <c r="I58" s="1839" t="str">
        <f>'Løntabel gældende fra'!$D$1</f>
        <v>01-04-2025</v>
      </c>
      <c r="J58" s="1840"/>
    </row>
    <row r="59" spans="1:11" ht="16" customHeight="1" thickBot="1">
      <c r="A59" s="782" t="s">
        <v>406</v>
      </c>
      <c r="B59" s="783"/>
      <c r="C59" s="783"/>
      <c r="D59" s="783"/>
      <c r="E59" s="783"/>
      <c r="F59" s="784"/>
      <c r="G59" s="1841">
        <v>300</v>
      </c>
      <c r="H59" s="1842"/>
      <c r="I59" s="1752">
        <f>ROUND(+G59*(1+'Løntabel gældende fra'!$D$7/100),2)</f>
        <v>369.93</v>
      </c>
      <c r="J59" s="1751"/>
    </row>
    <row r="60" spans="1:11" ht="20" customHeight="1" thickBot="1">
      <c r="A60" s="1808"/>
      <c r="B60" s="1808"/>
      <c r="C60" s="1808"/>
      <c r="D60" s="1808"/>
      <c r="E60" s="1808"/>
      <c r="F60" s="1808"/>
      <c r="G60" s="1808"/>
      <c r="H60" s="1808"/>
      <c r="I60" s="465"/>
      <c r="J60" s="10"/>
      <c r="K60" s="10"/>
    </row>
    <row r="61" spans="1:11" ht="20" customHeight="1" thickBot="1">
      <c r="A61" s="1091" t="s">
        <v>408</v>
      </c>
      <c r="B61" s="1092"/>
      <c r="C61" s="1092"/>
      <c r="D61" s="1092"/>
      <c r="E61" s="1092"/>
      <c r="F61" s="1092"/>
      <c r="G61" s="1092"/>
      <c r="H61" s="1145"/>
      <c r="I61" s="465"/>
      <c r="J61" s="10"/>
      <c r="K61" s="10"/>
    </row>
    <row r="62" spans="1:11" ht="20" customHeight="1" thickBot="1">
      <c r="A62" s="792"/>
      <c r="B62" s="793"/>
      <c r="C62" s="1815" t="s">
        <v>444</v>
      </c>
      <c r="D62" s="1617"/>
      <c r="E62" s="1623"/>
      <c r="F62" s="1815" t="s">
        <v>445</v>
      </c>
      <c r="G62" s="1617"/>
      <c r="H62" s="1623"/>
      <c r="I62" s="465"/>
      <c r="J62" s="10"/>
      <c r="K62" s="10"/>
    </row>
    <row r="63" spans="1:11" ht="20" customHeight="1">
      <c r="A63" s="776"/>
      <c r="B63" s="777"/>
      <c r="C63" s="1813" t="s">
        <v>131</v>
      </c>
      <c r="D63" s="1813" t="s">
        <v>131</v>
      </c>
      <c r="E63" s="1813" t="s">
        <v>257</v>
      </c>
      <c r="F63" s="1813" t="s">
        <v>131</v>
      </c>
      <c r="G63" s="1813" t="s">
        <v>131</v>
      </c>
      <c r="H63" s="1813" t="s">
        <v>257</v>
      </c>
      <c r="I63" s="780"/>
      <c r="J63" s="781"/>
      <c r="K63" s="781"/>
    </row>
    <row r="64" spans="1:11" ht="20" customHeight="1">
      <c r="A64" s="776"/>
      <c r="B64" s="777"/>
      <c r="C64" s="1814"/>
      <c r="D64" s="1814"/>
      <c r="E64" s="1814"/>
      <c r="F64" s="1814"/>
      <c r="G64" s="1814"/>
      <c r="H64" s="1814"/>
      <c r="I64" s="780"/>
      <c r="J64" s="781"/>
      <c r="K64" s="781"/>
    </row>
    <row r="65" spans="1:11" ht="20" customHeight="1" thickBot="1">
      <c r="A65" s="785"/>
      <c r="B65" s="794"/>
      <c r="C65" s="786">
        <f>G58</f>
        <v>40999</v>
      </c>
      <c r="D65" s="786" t="str">
        <f>I58</f>
        <v>01-04-2025</v>
      </c>
      <c r="E65" s="786" t="str">
        <f>I58</f>
        <v>01-04-2025</v>
      </c>
      <c r="F65" s="786">
        <f>C65</f>
        <v>40999</v>
      </c>
      <c r="G65" s="786" t="str">
        <f t="shared" ref="G65:H65" si="12">D65</f>
        <v>01-04-2025</v>
      </c>
      <c r="H65" s="786" t="str">
        <f t="shared" si="12"/>
        <v>01-04-2025</v>
      </c>
      <c r="I65" s="780"/>
      <c r="J65" s="781"/>
      <c r="K65" s="781"/>
    </row>
    <row r="66" spans="1:11" ht="16" customHeight="1" thickBot="1">
      <c r="A66" s="1806" t="s">
        <v>411</v>
      </c>
      <c r="B66" s="1807"/>
      <c r="C66" s="798"/>
      <c r="D66" s="798"/>
      <c r="E66" s="798"/>
      <c r="F66" s="798"/>
      <c r="G66" s="798"/>
      <c r="H66" s="798"/>
      <c r="I66" s="780"/>
      <c r="J66" s="781"/>
      <c r="K66" s="781"/>
    </row>
    <row r="67" spans="1:11" ht="16" customHeight="1">
      <c r="A67" s="1816" t="s">
        <v>344</v>
      </c>
      <c r="B67" s="1817"/>
      <c r="C67" s="788">
        <v>103542</v>
      </c>
      <c r="D67" s="789">
        <f>ROUND(C67+(C67*'Løntabel gældende fra'!$D$7%),2)</f>
        <v>127677.12</v>
      </c>
      <c r="E67" s="789">
        <f>ROUND(D67/12,2)</f>
        <v>10639.76</v>
      </c>
      <c r="F67" s="789">
        <v>106163</v>
      </c>
      <c r="G67" s="789">
        <f>ROUND(F67+(F67*'Løntabel gældende fra'!$D$7%),2)</f>
        <v>130909.06</v>
      </c>
      <c r="H67" s="788">
        <f>ROUND(G67/12,2)</f>
        <v>10909.09</v>
      </c>
      <c r="I67" s="465"/>
      <c r="J67" s="10"/>
      <c r="K67" s="10"/>
    </row>
    <row r="68" spans="1:11" ht="16" customHeight="1">
      <c r="A68" s="1809" t="s">
        <v>343</v>
      </c>
      <c r="B68" s="1810"/>
      <c r="C68" s="790">
        <v>110751</v>
      </c>
      <c r="D68" s="789">
        <f>ROUND(C68+(C68*'Løntabel gældende fra'!$D$7%),2)</f>
        <v>136566.5</v>
      </c>
      <c r="E68" s="789">
        <f t="shared" ref="E68:E70" si="13">ROUND(D68/12,2)</f>
        <v>11380.54</v>
      </c>
      <c r="F68" s="790">
        <v>114027</v>
      </c>
      <c r="G68" s="789">
        <f>ROUND(F68+(F68*'Løntabel gældende fra'!$D$7%),2)</f>
        <v>140606.12</v>
      </c>
      <c r="H68" s="788">
        <f t="shared" ref="H68:H70" si="14">ROUND(G68/12,2)</f>
        <v>11717.18</v>
      </c>
      <c r="I68" s="465"/>
      <c r="J68" s="10"/>
      <c r="K68" s="10"/>
    </row>
    <row r="69" spans="1:11" ht="16" customHeight="1">
      <c r="A69" s="1809" t="s">
        <v>342</v>
      </c>
      <c r="B69" s="1810"/>
      <c r="C69" s="790">
        <v>117959</v>
      </c>
      <c r="D69" s="789">
        <f>ROUND(C69+(C69*'Løntabel gældende fra'!$D$7%),2)</f>
        <v>145454.65</v>
      </c>
      <c r="E69" s="789">
        <f t="shared" si="13"/>
        <v>12121.22</v>
      </c>
      <c r="F69" s="790">
        <v>121236</v>
      </c>
      <c r="G69" s="789">
        <f>ROUND(F69+(F69*'Løntabel gældende fra'!$D$7%),2)</f>
        <v>149495.51</v>
      </c>
      <c r="H69" s="788">
        <f t="shared" si="14"/>
        <v>12457.96</v>
      </c>
      <c r="I69" s="465"/>
      <c r="J69" s="10"/>
      <c r="K69" s="10"/>
    </row>
    <row r="70" spans="1:11" ht="16" customHeight="1" thickBot="1">
      <c r="A70" s="1811" t="s">
        <v>341</v>
      </c>
      <c r="B70" s="1812"/>
      <c r="C70" s="791">
        <v>126479</v>
      </c>
      <c r="D70" s="789">
        <f>ROUND(C70+(C70*'Løntabel gældende fra'!$D$7%),2)</f>
        <v>155960.62</v>
      </c>
      <c r="E70" s="789">
        <f t="shared" si="13"/>
        <v>12996.72</v>
      </c>
      <c r="F70" s="791">
        <v>130411</v>
      </c>
      <c r="G70" s="789">
        <f>ROUND(F70+(F70*'Løntabel gældende fra'!$D$7%),2)</f>
        <v>160809.15</v>
      </c>
      <c r="H70" s="788">
        <f t="shared" si="14"/>
        <v>13400.76</v>
      </c>
      <c r="I70" s="465"/>
      <c r="J70" s="10"/>
      <c r="K70" s="10"/>
    </row>
    <row r="71" spans="1:11" ht="16" customHeight="1" thickBot="1">
      <c r="A71" s="1806" t="s">
        <v>410</v>
      </c>
      <c r="B71" s="1807"/>
      <c r="C71" s="795"/>
      <c r="D71" s="795"/>
      <c r="E71" s="795"/>
      <c r="F71" s="796"/>
      <c r="G71" s="795"/>
      <c r="H71" s="797"/>
      <c r="I71" s="465"/>
      <c r="J71" s="10"/>
      <c r="K71" s="10"/>
    </row>
    <row r="72" spans="1:11" ht="16" customHeight="1">
      <c r="A72" s="1816" t="s">
        <v>344</v>
      </c>
      <c r="B72" s="1817"/>
      <c r="C72" s="788">
        <v>130411</v>
      </c>
      <c r="D72" s="789">
        <f>ROUND(C72+(C72*'Løntabel gældende fra'!$D$7%),2)</f>
        <v>160809.15</v>
      </c>
      <c r="E72" s="789">
        <f>ROUND(D72/12,2)</f>
        <v>13400.76</v>
      </c>
      <c r="F72" s="789">
        <v>133687</v>
      </c>
      <c r="G72" s="789">
        <f>ROUND(F72+(F72*'Løntabel gældende fra'!$D$7%),2)</f>
        <v>164848.76999999999</v>
      </c>
      <c r="H72" s="788">
        <f>ROUND(G72/12,2)</f>
        <v>13737.4</v>
      </c>
      <c r="I72" s="465"/>
      <c r="J72" s="10"/>
      <c r="K72" s="10"/>
    </row>
    <row r="73" spans="1:11" ht="16" customHeight="1">
      <c r="A73" s="1809" t="s">
        <v>343</v>
      </c>
      <c r="B73" s="1810"/>
      <c r="C73" s="790">
        <v>137619</v>
      </c>
      <c r="D73" s="789">
        <f>ROUND(C73+(C73*'Løntabel gældende fra'!$D$7%),2)</f>
        <v>169697.3</v>
      </c>
      <c r="E73" s="789">
        <f t="shared" ref="E73:E75" si="15">ROUND(D73/12,2)</f>
        <v>14141.44</v>
      </c>
      <c r="F73" s="790">
        <v>140896</v>
      </c>
      <c r="G73" s="789">
        <f>ROUND(F73+(F73*'Løntabel gældende fra'!$D$7%),2)</f>
        <v>173738.15</v>
      </c>
      <c r="H73" s="788">
        <f t="shared" ref="H73:H75" si="16">ROUND(G73/12,2)</f>
        <v>14478.18</v>
      </c>
      <c r="I73" s="465"/>
      <c r="J73" s="10"/>
      <c r="K73" s="10"/>
    </row>
    <row r="74" spans="1:11" ht="16" customHeight="1">
      <c r="A74" s="1809" t="s">
        <v>342</v>
      </c>
      <c r="B74" s="1810"/>
      <c r="C74" s="790">
        <v>147777</v>
      </c>
      <c r="D74" s="789">
        <f>ROUND(C74+(C74*'Løntabel gældende fra'!$D$7%),2)</f>
        <v>182223.08</v>
      </c>
      <c r="E74" s="789">
        <f t="shared" si="15"/>
        <v>15185.26</v>
      </c>
      <c r="F74" s="790">
        <v>152037</v>
      </c>
      <c r="G74" s="789">
        <f>ROUND(F74+(F74*'Løntabel gældende fra'!$D$7%),2)</f>
        <v>187476.06</v>
      </c>
      <c r="H74" s="788">
        <f t="shared" si="16"/>
        <v>15623.01</v>
      </c>
      <c r="I74" s="465"/>
      <c r="J74" s="10"/>
      <c r="K74" s="10"/>
    </row>
    <row r="75" spans="1:11" s="253" customFormat="1" ht="16" customHeight="1" thickBot="1">
      <c r="A75" s="1811" t="s">
        <v>341</v>
      </c>
      <c r="B75" s="1812"/>
      <c r="C75" s="791">
        <v>155641</v>
      </c>
      <c r="D75" s="789">
        <f>ROUND(C75+(C75*'Løntabel gældende fra'!$D$7%),2)</f>
        <v>191920.14</v>
      </c>
      <c r="E75" s="789">
        <f t="shared" si="15"/>
        <v>15993.35</v>
      </c>
      <c r="F75" s="791">
        <v>160556</v>
      </c>
      <c r="G75" s="789">
        <f>ROUND(F75+(F75*'Løntabel gældende fra'!$D$7%),2)</f>
        <v>197980.79999999999</v>
      </c>
      <c r="H75" s="788">
        <f t="shared" si="16"/>
        <v>16498.400000000001</v>
      </c>
      <c r="I75" s="465"/>
      <c r="J75" s="55"/>
      <c r="K75" s="55"/>
    </row>
    <row r="76" spans="1:11" ht="16" customHeight="1" thickBot="1">
      <c r="A76" s="799" t="s">
        <v>413</v>
      </c>
      <c r="B76" s="799"/>
      <c r="C76" s="795"/>
      <c r="D76" s="795"/>
      <c r="E76" s="795"/>
      <c r="F76" s="796"/>
      <c r="G76" s="795"/>
      <c r="H76" s="797"/>
      <c r="I76" s="465"/>
      <c r="J76" s="10"/>
      <c r="K76" s="10"/>
    </row>
    <row r="77" spans="1:11" ht="16" customHeight="1" thickBot="1">
      <c r="A77" s="1818" t="s">
        <v>414</v>
      </c>
      <c r="B77" s="1819"/>
      <c r="C77" s="787">
        <v>220533</v>
      </c>
      <c r="D77" s="787">
        <f>ROUND(C77+(C77*'Løntabel gældende fra'!$D$7%),2)</f>
        <v>271938.14</v>
      </c>
      <c r="E77" s="787">
        <f>ROUND(D77/12,2)</f>
        <v>22661.51</v>
      </c>
      <c r="F77" s="787">
        <v>222812</v>
      </c>
      <c r="G77" s="787">
        <f>ROUND(F77+(F77*'Løntabel gældende fra'!$D$7%),2)</f>
        <v>274748.36</v>
      </c>
      <c r="H77" s="800">
        <f>ROUND(G77/12,2)</f>
        <v>22895.7</v>
      </c>
      <c r="I77" s="465"/>
      <c r="J77" s="10"/>
      <c r="K77" s="10"/>
    </row>
    <row r="78" spans="1:11" ht="13">
      <c r="A78" s="223"/>
      <c r="B78" s="223"/>
      <c r="C78" s="223"/>
      <c r="D78" s="224"/>
    </row>
    <row r="79" spans="1:11">
      <c r="D79" s="225"/>
    </row>
    <row r="80" spans="1:11">
      <c r="D80" s="225"/>
    </row>
    <row r="81" spans="4:4">
      <c r="D81" s="225"/>
    </row>
    <row r="82" spans="4:4">
      <c r="D82" s="226"/>
    </row>
  </sheetData>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1"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defaultColWidth="8.81640625" defaultRowHeight="12.5"/>
  <cols>
    <col min="1" max="1" width="22.36328125" style="211" customWidth="1"/>
    <col min="2" max="2" width="10.6328125" style="211" customWidth="1"/>
    <col min="3" max="3" width="11" style="211" customWidth="1"/>
    <col min="4" max="4" width="10.36328125" style="211" customWidth="1"/>
    <col min="5" max="5" width="11.36328125" style="211" customWidth="1"/>
    <col min="6" max="6" width="10.6328125" style="211" customWidth="1"/>
    <col min="7" max="7" width="10.36328125" style="211" customWidth="1"/>
    <col min="8" max="8" width="11.08984375" style="211" customWidth="1"/>
    <col min="9" max="9" width="11" style="211" customWidth="1"/>
    <col min="10" max="10" width="10.81640625" style="211" customWidth="1"/>
    <col min="11" max="16384" width="8.81640625" style="211"/>
  </cols>
  <sheetData>
    <row r="1" spans="1:12" ht="20.25" customHeight="1">
      <c r="A1" s="1851" t="s">
        <v>19</v>
      </c>
      <c r="B1" s="1852"/>
      <c r="C1" s="1852"/>
      <c r="D1" s="1852"/>
      <c r="E1" s="1852"/>
      <c r="F1" s="1852"/>
      <c r="G1" s="1852"/>
      <c r="H1" s="1852"/>
      <c r="I1" s="1852"/>
      <c r="J1" s="1853"/>
    </row>
    <row r="2" spans="1:12" ht="20" customHeight="1">
      <c r="A2" s="1854" t="s">
        <v>202</v>
      </c>
      <c r="B2" s="1855"/>
      <c r="C2" s="1855"/>
      <c r="D2" s="1855"/>
      <c r="E2" s="1855"/>
      <c r="F2" s="1855"/>
      <c r="G2" s="1855"/>
      <c r="H2" s="1855"/>
      <c r="I2" s="1855"/>
      <c r="J2" s="1856"/>
    </row>
    <row r="3" spans="1:12" ht="19.5" customHeight="1">
      <c r="A3" s="1857" t="s">
        <v>533</v>
      </c>
      <c r="B3" s="1858"/>
      <c r="C3" s="1858"/>
      <c r="D3" s="1858"/>
      <c r="E3" s="1858"/>
      <c r="F3" s="1858"/>
      <c r="G3" s="1858"/>
      <c r="H3" s="1858"/>
      <c r="I3" s="1858"/>
      <c r="J3" s="1859"/>
    </row>
    <row r="4" spans="1:12" ht="33" customHeight="1" thickBot="1">
      <c r="A4" s="1788" t="s">
        <v>215</v>
      </c>
      <c r="B4" s="1789"/>
      <c r="C4" s="1789"/>
      <c r="D4" s="1789"/>
      <c r="E4" s="1789"/>
      <c r="F4" s="1789"/>
      <c r="G4" s="1789"/>
      <c r="H4" s="1789"/>
      <c r="I4" s="1789"/>
      <c r="J4" s="1790"/>
    </row>
    <row r="5" spans="1:12" ht="14.5" thickBot="1">
      <c r="A5" s="227"/>
      <c r="B5" s="227"/>
      <c r="C5" s="227"/>
      <c r="D5" s="227"/>
      <c r="E5" s="258"/>
      <c r="F5" s="258"/>
      <c r="G5" s="258"/>
      <c r="H5" s="258"/>
    </row>
    <row r="6" spans="1:12" s="237" customFormat="1" ht="18.5" thickBot="1">
      <c r="A6" s="1611" t="s">
        <v>534</v>
      </c>
      <c r="B6" s="1612"/>
      <c r="C6" s="1612"/>
      <c r="D6" s="1612"/>
      <c r="E6" s="1612"/>
      <c r="F6" s="1612"/>
      <c r="G6" s="1612"/>
      <c r="H6" s="1612"/>
      <c r="I6" s="1612"/>
      <c r="J6" s="1613"/>
    </row>
    <row r="7" spans="1:12" s="237" customFormat="1" ht="41" customHeight="1">
      <c r="A7" s="435" t="s">
        <v>364</v>
      </c>
      <c r="B7" s="435" t="s">
        <v>484</v>
      </c>
      <c r="C7" s="438" t="s">
        <v>485</v>
      </c>
      <c r="D7" s="435" t="s">
        <v>486</v>
      </c>
      <c r="E7" s="435" t="s">
        <v>487</v>
      </c>
      <c r="F7" s="435" t="s">
        <v>488</v>
      </c>
      <c r="G7" s="438" t="s">
        <v>489</v>
      </c>
      <c r="H7" s="435" t="s">
        <v>490</v>
      </c>
      <c r="I7" s="435" t="s">
        <v>491</v>
      </c>
      <c r="J7" s="910" t="s">
        <v>492</v>
      </c>
    </row>
    <row r="8" spans="1:12" s="237" customFormat="1" ht="14" customHeight="1">
      <c r="A8" s="911" t="s">
        <v>493</v>
      </c>
      <c r="B8" s="912">
        <v>24965</v>
      </c>
      <c r="C8" s="912">
        <v>28221</v>
      </c>
      <c r="D8" s="912">
        <v>34463</v>
      </c>
      <c r="E8" s="912">
        <v>23880</v>
      </c>
      <c r="F8" s="912">
        <v>24965</v>
      </c>
      <c r="G8" s="912">
        <v>27679</v>
      </c>
      <c r="H8" s="912">
        <v>23880</v>
      </c>
      <c r="I8" s="912">
        <v>24965</v>
      </c>
      <c r="J8" s="912">
        <v>23880</v>
      </c>
    </row>
    <row r="9" spans="1:12" s="237" customFormat="1" ht="13.5" customHeight="1">
      <c r="A9" s="913" t="s">
        <v>494</v>
      </c>
      <c r="B9" s="914">
        <f t="shared" ref="B9:J11" si="0">SUM((B8*4%)+B8)</f>
        <v>25963.599999999999</v>
      </c>
      <c r="C9" s="914">
        <f t="shared" si="0"/>
        <v>29349.84</v>
      </c>
      <c r="D9" s="914">
        <f>SUM(((D8*4%)+D8)-1)</f>
        <v>35840.519999999997</v>
      </c>
      <c r="E9" s="914">
        <f t="shared" si="0"/>
        <v>24835.200000000001</v>
      </c>
      <c r="F9" s="914">
        <f t="shared" si="0"/>
        <v>25963.599999999999</v>
      </c>
      <c r="G9" s="914">
        <f t="shared" si="0"/>
        <v>28786.16</v>
      </c>
      <c r="H9" s="914">
        <f t="shared" si="0"/>
        <v>24835.200000000001</v>
      </c>
      <c r="I9" s="914">
        <f t="shared" si="0"/>
        <v>25963.599999999999</v>
      </c>
      <c r="J9" s="914">
        <f t="shared" si="0"/>
        <v>24835.200000000001</v>
      </c>
    </row>
    <row r="10" spans="1:12" s="237" customFormat="1" ht="15" customHeight="1">
      <c r="A10" s="911" t="s">
        <v>495</v>
      </c>
      <c r="B10" s="914">
        <f t="shared" si="0"/>
        <v>27002.144</v>
      </c>
      <c r="C10" s="914">
        <f t="shared" si="0"/>
        <v>30523.833600000002</v>
      </c>
      <c r="D10" s="914">
        <f>SUM((D9*4%)+D9+1)</f>
        <v>37275.140799999994</v>
      </c>
      <c r="E10" s="914">
        <f>SUM(((E9*4%)+E9)-1)</f>
        <v>25827.608</v>
      </c>
      <c r="F10" s="914">
        <f t="shared" si="0"/>
        <v>27002.144</v>
      </c>
      <c r="G10" s="914">
        <f>SUM(((G9*4%)+G9)-1)</f>
        <v>29936.606400000001</v>
      </c>
      <c r="H10" s="914">
        <f>SUM(((H9*4%)+H9)-1)</f>
        <v>25827.608</v>
      </c>
      <c r="I10" s="914">
        <f t="shared" si="0"/>
        <v>27002.144</v>
      </c>
      <c r="J10" s="914">
        <f>SUM(((J9*4%)+J9)-1)</f>
        <v>25827.608</v>
      </c>
      <c r="L10" s="239"/>
    </row>
    <row r="11" spans="1:12" s="237" customFormat="1" ht="15" customHeight="1">
      <c r="A11" s="911" t="s">
        <v>496</v>
      </c>
      <c r="B11" s="915"/>
      <c r="C11" s="915"/>
      <c r="D11" s="915"/>
      <c r="E11" s="914">
        <f t="shared" si="0"/>
        <v>26860.712319999999</v>
      </c>
      <c r="F11" s="915"/>
      <c r="G11" s="915"/>
      <c r="H11" s="914">
        <f t="shared" si="0"/>
        <v>26860.712319999999</v>
      </c>
      <c r="I11" s="915"/>
      <c r="J11" s="914">
        <f>SUM((J10*4%)+J10)</f>
        <v>26860.712319999999</v>
      </c>
      <c r="L11" s="239"/>
    </row>
    <row r="12" spans="1:12" s="237" customFormat="1" ht="15" customHeight="1">
      <c r="A12" s="916" t="s">
        <v>497</v>
      </c>
      <c r="B12" s="914">
        <f>SUM((B10*4%)+B10)</f>
        <v>28082.229760000002</v>
      </c>
      <c r="C12" s="914">
        <f>SUM((C10*4%)+C10)</f>
        <v>31744.786944000003</v>
      </c>
      <c r="D12" s="914">
        <f>SUM((D10*4%)+D10)</f>
        <v>38766.146431999994</v>
      </c>
      <c r="E12" s="915"/>
      <c r="F12" s="914">
        <f>SUM((F10*4%)+F10)</f>
        <v>28082.229760000002</v>
      </c>
      <c r="G12" s="914">
        <f>SUM(((G10*4%)+G10)+1)</f>
        <v>31135.070656</v>
      </c>
      <c r="H12" s="915"/>
      <c r="I12" s="914">
        <f>SUM((I10*4%)+I10)</f>
        <v>28082.229760000002</v>
      </c>
      <c r="J12" s="915"/>
      <c r="L12" s="239"/>
    </row>
    <row r="13" spans="1:12" s="237" customFormat="1" ht="15" customHeight="1" thickBot="1">
      <c r="A13" s="860" t="s">
        <v>498</v>
      </c>
      <c r="B13" s="917">
        <f>SUM((B12*4%)+B12)</f>
        <v>29205.518950400001</v>
      </c>
      <c r="C13" s="917">
        <f>SUM((C12*4%)+C12)</f>
        <v>33014.578421760001</v>
      </c>
      <c r="D13" s="917">
        <f>SUM((D12*4%)+D12)</f>
        <v>40316.792289279991</v>
      </c>
      <c r="E13" s="918"/>
      <c r="F13" s="917">
        <f>SUM((F12*4%)+F12)</f>
        <v>29205.518950400001</v>
      </c>
      <c r="G13" s="917">
        <f>SUM((G12*4%)+G12)</f>
        <v>32380.473482239999</v>
      </c>
      <c r="H13" s="918"/>
      <c r="I13" s="917">
        <f>SUM((I12*4%)+I12)</f>
        <v>29205.518950400001</v>
      </c>
      <c r="J13" s="918"/>
      <c r="L13" s="239"/>
    </row>
    <row r="14" spans="1:12" s="237" customFormat="1" ht="15" customHeight="1">
      <c r="A14" s="919"/>
      <c r="B14" s="920"/>
      <c r="C14" s="920"/>
      <c r="D14" s="921"/>
      <c r="E14" s="856"/>
      <c r="F14" s="857"/>
      <c r="G14" s="858"/>
      <c r="H14" s="858"/>
      <c r="I14" s="240"/>
      <c r="J14" s="238"/>
      <c r="L14" s="239"/>
    </row>
    <row r="15" spans="1:12" s="237" customFormat="1" ht="14.5" thickBot="1">
      <c r="B15" s="238"/>
      <c r="C15" s="238"/>
      <c r="D15" s="238"/>
      <c r="E15" s="263"/>
      <c r="F15" s="263"/>
      <c r="G15" s="263"/>
      <c r="H15" s="263"/>
    </row>
    <row r="16" spans="1:12" s="237" customFormat="1" ht="18.5" thickBot="1">
      <c r="A16" s="1611" t="s">
        <v>170</v>
      </c>
      <c r="B16" s="1612"/>
      <c r="C16" s="1612"/>
      <c r="D16" s="1613"/>
    </row>
    <row r="17" spans="1:10" s="237" customFormat="1" ht="15" customHeight="1" thickBot="1">
      <c r="A17" s="1860" t="s">
        <v>171</v>
      </c>
      <c r="B17" s="1861"/>
      <c r="C17" s="1861"/>
      <c r="D17" s="1862"/>
    </row>
    <row r="18" spans="1:10" s="237" customFormat="1" ht="16" customHeight="1" thickBot="1">
      <c r="A18" s="859" t="s">
        <v>191</v>
      </c>
      <c r="B18" s="960">
        <v>45383</v>
      </c>
      <c r="C18" s="897">
        <v>45748</v>
      </c>
      <c r="D18" s="898"/>
    </row>
    <row r="19" spans="1:10" s="237" customFormat="1" ht="16" customHeight="1" thickBot="1">
      <c r="A19" s="860" t="s">
        <v>192</v>
      </c>
      <c r="B19" s="961">
        <v>146</v>
      </c>
      <c r="C19" s="922">
        <v>149</v>
      </c>
      <c r="D19" s="840"/>
      <c r="F19" s="238"/>
      <c r="G19" s="238"/>
      <c r="H19" s="238"/>
      <c r="I19" s="238"/>
      <c r="J19" s="238"/>
    </row>
    <row r="20" spans="1:10" s="237" customFormat="1" ht="16" customHeight="1" thickBot="1">
      <c r="A20" s="246"/>
      <c r="B20" s="803"/>
      <c r="C20" s="803"/>
      <c r="D20" s="803"/>
      <c r="F20" s="238"/>
      <c r="G20" s="238"/>
      <c r="H20" s="238"/>
      <c r="I20" s="238"/>
      <c r="J20" s="238"/>
    </row>
    <row r="21" spans="1:10" s="237" customFormat="1" ht="19" customHeight="1" thickBot="1">
      <c r="A21" s="1723" t="s">
        <v>195</v>
      </c>
      <c r="B21" s="1724"/>
      <c r="C21" s="1724"/>
      <c r="D21" s="1612"/>
      <c r="E21" s="1613"/>
      <c r="F21" s="238"/>
      <c r="G21" s="238"/>
      <c r="H21" s="238"/>
      <c r="I21" s="238"/>
      <c r="J21" s="238"/>
    </row>
    <row r="22" spans="1:10" s="237" customFormat="1" ht="16" customHeight="1" thickBot="1">
      <c r="A22" s="884" t="s">
        <v>196</v>
      </c>
      <c r="B22" s="885"/>
      <c r="C22" s="962">
        <v>45383</v>
      </c>
      <c r="D22" s="923">
        <v>45748</v>
      </c>
      <c r="E22" s="307"/>
      <c r="F22" s="238"/>
      <c r="G22" s="238"/>
      <c r="H22" s="238"/>
      <c r="I22" s="238"/>
      <c r="J22" s="238"/>
    </row>
    <row r="23" spans="1:10" s="237" customFormat="1" ht="16" customHeight="1">
      <c r="A23" s="305" t="s">
        <v>499</v>
      </c>
      <c r="B23" s="306"/>
      <c r="C23" s="963">
        <v>79</v>
      </c>
      <c r="D23" s="924">
        <v>80</v>
      </c>
      <c r="E23" s="861"/>
      <c r="F23" s="238"/>
      <c r="G23" s="238"/>
      <c r="H23" s="238"/>
      <c r="I23" s="238"/>
      <c r="J23" s="238"/>
    </row>
    <row r="24" spans="1:10" s="237" customFormat="1" ht="16" customHeight="1">
      <c r="A24" s="309" t="s">
        <v>193</v>
      </c>
      <c r="B24" s="308"/>
      <c r="C24" s="964">
        <v>89</v>
      </c>
      <c r="D24" s="272">
        <v>91</v>
      </c>
      <c r="E24" s="862"/>
      <c r="F24" s="238"/>
      <c r="G24" s="238"/>
      <c r="H24" s="238"/>
      <c r="I24" s="238"/>
      <c r="J24" s="238"/>
    </row>
    <row r="25" spans="1:10" s="237" customFormat="1" ht="16" customHeight="1" thickBot="1">
      <c r="A25" s="310" t="s">
        <v>194</v>
      </c>
      <c r="B25" s="311"/>
      <c r="C25" s="965">
        <v>102</v>
      </c>
      <c r="D25" s="454">
        <v>105</v>
      </c>
      <c r="E25" s="863"/>
      <c r="F25" s="238"/>
      <c r="G25" s="238"/>
      <c r="H25" s="238"/>
      <c r="I25" s="238"/>
      <c r="J25" s="238"/>
    </row>
    <row r="26" spans="1:10" s="237" customFormat="1" ht="14.5" thickBot="1">
      <c r="A26" s="246"/>
      <c r="B26" s="245"/>
      <c r="C26" s="245"/>
      <c r="D26" s="245"/>
      <c r="G26" s="263"/>
    </row>
    <row r="27" spans="1:10" s="237" customFormat="1" ht="18.5" thickBot="1">
      <c r="A27" s="1863" t="s">
        <v>172</v>
      </c>
      <c r="B27" s="1864"/>
      <c r="C27" s="1864"/>
      <c r="D27" s="1864"/>
      <c r="E27" s="1864"/>
      <c r="F27" s="1865"/>
      <c r="G27" s="864"/>
    </row>
    <row r="28" spans="1:10" s="237" customFormat="1" ht="14.5" thickBot="1">
      <c r="A28" s="1866"/>
      <c r="B28" s="1867"/>
      <c r="C28" s="1867"/>
      <c r="D28" s="962">
        <v>45383</v>
      </c>
      <c r="E28" s="923">
        <v>45748</v>
      </c>
      <c r="F28" s="806"/>
      <c r="G28" s="865"/>
    </row>
    <row r="29" spans="1:10" s="237" customFormat="1" ht="14" customHeight="1">
      <c r="A29" s="1868" t="s">
        <v>198</v>
      </c>
      <c r="B29" s="1869"/>
      <c r="C29" s="925" t="s">
        <v>165</v>
      </c>
      <c r="D29" s="966">
        <v>39</v>
      </c>
      <c r="E29" s="926">
        <v>40</v>
      </c>
      <c r="F29" s="927"/>
      <c r="G29" s="866"/>
    </row>
    <row r="30" spans="1:10" s="237" customFormat="1" ht="14">
      <c r="A30" s="1849" t="s">
        <v>199</v>
      </c>
      <c r="B30" s="1850"/>
      <c r="C30" s="896" t="s">
        <v>165</v>
      </c>
      <c r="D30" s="967">
        <v>59</v>
      </c>
      <c r="E30" s="928">
        <v>60</v>
      </c>
      <c r="F30" s="867"/>
      <c r="G30" s="866"/>
    </row>
    <row r="31" spans="1:10" s="237" customFormat="1" ht="23" customHeight="1">
      <c r="A31" s="1870" t="s">
        <v>197</v>
      </c>
      <c r="B31" s="1871"/>
      <c r="C31" s="896" t="s">
        <v>165</v>
      </c>
      <c r="D31" s="967">
        <v>64</v>
      </c>
      <c r="E31" s="928">
        <v>66</v>
      </c>
      <c r="F31" s="867"/>
      <c r="G31" s="866"/>
    </row>
    <row r="32" spans="1:10" s="237" customFormat="1" ht="15.75" customHeight="1" thickBot="1">
      <c r="A32" s="1872" t="s">
        <v>500</v>
      </c>
      <c r="B32" s="1873"/>
      <c r="C32" s="312" t="s">
        <v>165</v>
      </c>
      <c r="D32" s="968">
        <v>23</v>
      </c>
      <c r="E32" s="929">
        <v>24</v>
      </c>
      <c r="F32" s="868"/>
      <c r="G32" s="866"/>
    </row>
    <row r="33" spans="1:10" s="237" customFormat="1" ht="14.5" thickBot="1">
      <c r="A33" s="227"/>
      <c r="B33" s="227"/>
      <c r="C33" s="227"/>
      <c r="D33" s="227"/>
      <c r="E33" s="227"/>
      <c r="F33" s="228"/>
      <c r="G33" s="227"/>
    </row>
    <row r="34" spans="1:10" s="237" customFormat="1" ht="18.5" thickBot="1">
      <c r="A34" s="1611" t="s">
        <v>535</v>
      </c>
      <c r="B34" s="1612"/>
      <c r="C34" s="1612"/>
      <c r="D34" s="1612"/>
      <c r="E34" s="1612"/>
      <c r="F34" s="1612"/>
      <c r="G34" s="1612"/>
      <c r="H34" s="1612"/>
      <c r="I34" s="1612"/>
      <c r="J34" s="1613"/>
    </row>
    <row r="35" spans="1:10" s="237" customFormat="1" ht="42" customHeight="1">
      <c r="A35" s="438" t="s">
        <v>501</v>
      </c>
      <c r="B35" s="1874" t="s">
        <v>502</v>
      </c>
      <c r="C35" s="1875"/>
      <c r="D35" s="1874" t="s">
        <v>404</v>
      </c>
      <c r="E35" s="1875"/>
      <c r="F35" s="435" t="s">
        <v>488</v>
      </c>
      <c r="G35" s="1874" t="s">
        <v>489</v>
      </c>
      <c r="H35" s="1875"/>
      <c r="I35" s="1874" t="s">
        <v>503</v>
      </c>
      <c r="J35" s="1875"/>
    </row>
    <row r="36" spans="1:10" s="237" customFormat="1" ht="15" customHeight="1">
      <c r="A36" s="930" t="s">
        <v>504</v>
      </c>
      <c r="B36" s="1876" t="s">
        <v>536</v>
      </c>
      <c r="C36" s="1877"/>
      <c r="D36" s="1876" t="s">
        <v>536</v>
      </c>
      <c r="E36" s="1877"/>
      <c r="F36" s="912" t="s">
        <v>537</v>
      </c>
      <c r="G36" s="1876" t="s">
        <v>537</v>
      </c>
      <c r="H36" s="1877"/>
      <c r="I36" s="1876" t="s">
        <v>537</v>
      </c>
      <c r="J36" s="1877"/>
    </row>
    <row r="37" spans="1:10" s="237" customFormat="1" ht="15" customHeight="1">
      <c r="A37" s="743"/>
      <c r="B37" s="1878"/>
      <c r="C37" s="1879"/>
      <c r="D37" s="1878"/>
      <c r="E37" s="1879"/>
      <c r="F37" s="915"/>
      <c r="G37" s="1878"/>
      <c r="H37" s="1879"/>
      <c r="I37" s="1878"/>
      <c r="J37" s="1879"/>
    </row>
    <row r="38" spans="1:10" s="237" customFormat="1" ht="15" customHeight="1">
      <c r="A38" s="930" t="s">
        <v>505</v>
      </c>
      <c r="B38" s="1876" t="s">
        <v>537</v>
      </c>
      <c r="C38" s="1877"/>
      <c r="D38" s="1878"/>
      <c r="E38" s="1879"/>
      <c r="F38" s="914" t="s">
        <v>538</v>
      </c>
      <c r="G38" s="1880" t="s">
        <v>538</v>
      </c>
      <c r="H38" s="1881"/>
      <c r="I38" s="1880"/>
      <c r="J38" s="1881"/>
    </row>
    <row r="39" spans="1:10" s="237" customFormat="1" ht="15" customHeight="1">
      <c r="A39" s="930"/>
      <c r="B39" s="1878"/>
      <c r="C39" s="1879"/>
      <c r="D39" s="1878"/>
      <c r="E39" s="1879"/>
      <c r="F39" s="915"/>
      <c r="G39" s="1878"/>
      <c r="H39" s="1879"/>
      <c r="I39" s="1878"/>
      <c r="J39" s="1879"/>
    </row>
    <row r="40" spans="1:10" s="237" customFormat="1" ht="15" customHeight="1">
      <c r="A40" s="931" t="s">
        <v>506</v>
      </c>
      <c r="B40" s="1880" t="s">
        <v>538</v>
      </c>
      <c r="C40" s="1881"/>
      <c r="D40" s="1880" t="s">
        <v>538</v>
      </c>
      <c r="E40" s="1881"/>
      <c r="F40" s="915"/>
      <c r="G40" s="1878"/>
      <c r="H40" s="1879"/>
      <c r="I40" s="1878"/>
      <c r="J40" s="1879"/>
    </row>
    <row r="41" spans="1:10" s="237" customFormat="1" ht="15" customHeight="1" thickBot="1">
      <c r="A41" s="932"/>
      <c r="B41" s="1882"/>
      <c r="C41" s="1883"/>
      <c r="D41" s="1884"/>
      <c r="E41" s="1885"/>
      <c r="F41" s="918"/>
      <c r="G41" s="1884"/>
      <c r="H41" s="1885"/>
      <c r="I41" s="1884"/>
      <c r="J41" s="1885"/>
    </row>
    <row r="42" spans="1:10" s="237" customFormat="1" ht="14">
      <c r="A42" s="227"/>
      <c r="B42" s="227"/>
      <c r="C42" s="227"/>
      <c r="D42" s="227"/>
      <c r="E42" s="227"/>
      <c r="F42" s="228"/>
      <c r="G42" s="227"/>
    </row>
    <row r="43" spans="1:10" s="237" customFormat="1" ht="9" customHeight="1">
      <c r="A43" s="869"/>
      <c r="B43" s="804"/>
      <c r="C43" s="804"/>
      <c r="D43" s="870"/>
      <c r="E43" s="804"/>
      <c r="F43" s="804"/>
      <c r="G43" s="870"/>
      <c r="H43" s="871"/>
      <c r="I43" s="870"/>
      <c r="J43" s="870"/>
    </row>
    <row r="44" spans="1:10" s="237" customFormat="1" ht="17" customHeight="1">
      <c r="A44" s="237" t="s">
        <v>218</v>
      </c>
      <c r="F44" s="304"/>
      <c r="G44" s="227"/>
      <c r="H44" s="871"/>
      <c r="I44" s="870"/>
      <c r="J44" s="870"/>
    </row>
    <row r="45" spans="1:10" s="237" customFormat="1" ht="17" customHeight="1">
      <c r="A45" s="461" t="s">
        <v>200</v>
      </c>
      <c r="F45" s="304"/>
      <c r="G45" s="227"/>
      <c r="H45" s="871"/>
      <c r="I45" s="870"/>
      <c r="J45" s="870"/>
    </row>
    <row r="46" spans="1:10" s="237" customFormat="1" ht="17" customHeight="1">
      <c r="A46" s="461" t="s">
        <v>507</v>
      </c>
      <c r="F46" s="304"/>
      <c r="G46" s="227"/>
      <c r="H46" s="871"/>
      <c r="I46" s="870"/>
      <c r="J46" s="870"/>
    </row>
    <row r="47" spans="1:10" s="237" customFormat="1" ht="12" customHeight="1">
      <c r="A47" s="461"/>
      <c r="F47" s="304"/>
      <c r="G47" s="227"/>
      <c r="H47" s="871"/>
      <c r="I47" s="870"/>
      <c r="J47" s="870"/>
    </row>
    <row r="48" spans="1:10" s="237" customFormat="1" ht="22" customHeight="1" thickBot="1">
      <c r="A48" s="886" t="s">
        <v>539</v>
      </c>
    </row>
    <row r="49" spans="1:10" s="237" customFormat="1" ht="22" customHeight="1" thickBot="1">
      <c r="A49" s="1611" t="s">
        <v>216</v>
      </c>
      <c r="B49" s="1612"/>
      <c r="C49" s="1612"/>
      <c r="D49" s="1612"/>
      <c r="E49" s="1612"/>
      <c r="F49" s="1612"/>
      <c r="G49" s="1613"/>
      <c r="H49" s="239"/>
    </row>
    <row r="50" spans="1:10" s="237" customFormat="1" ht="18" customHeight="1" thickBot="1">
      <c r="A50" s="1860" t="s">
        <v>508</v>
      </c>
      <c r="B50" s="1861"/>
      <c r="C50" s="1861"/>
      <c r="D50" s="1861"/>
      <c r="E50" s="1861"/>
      <c r="F50" s="1861"/>
      <c r="G50" s="1862"/>
    </row>
    <row r="51" spans="1:10" s="237" customFormat="1" ht="16" customHeight="1" thickBot="1">
      <c r="A51" s="807"/>
      <c r="B51" s="1890">
        <v>45383</v>
      </c>
      <c r="C51" s="1891"/>
      <c r="D51" s="1892">
        <v>45748</v>
      </c>
      <c r="E51" s="1893"/>
      <c r="F51" s="1894"/>
      <c r="G51" s="1895"/>
    </row>
    <row r="52" spans="1:10" s="237" customFormat="1" ht="16" customHeight="1" thickBot="1">
      <c r="A52" s="860" t="s">
        <v>217</v>
      </c>
      <c r="B52" s="1896">
        <v>6</v>
      </c>
      <c r="C52" s="1897"/>
      <c r="D52" s="1898">
        <v>2.4</v>
      </c>
      <c r="E52" s="1899"/>
      <c r="F52" s="1900"/>
      <c r="G52" s="1901"/>
      <c r="H52" s="230"/>
    </row>
    <row r="53" spans="1:10" s="237" customFormat="1" ht="14.5" thickBot="1">
      <c r="A53" s="872"/>
      <c r="B53" s="873"/>
      <c r="C53" s="805"/>
      <c r="D53" s="805"/>
    </row>
    <row r="54" spans="1:10" s="237" customFormat="1" ht="23" customHeight="1" thickBot="1">
      <c r="A54" s="1611" t="s">
        <v>386</v>
      </c>
      <c r="B54" s="1612"/>
      <c r="C54" s="1612"/>
      <c r="D54" s="1612"/>
      <c r="E54" s="1613"/>
    </row>
    <row r="55" spans="1:10" s="237" customFormat="1" ht="18" customHeight="1" thickBot="1">
      <c r="A55" s="1860" t="s">
        <v>388</v>
      </c>
      <c r="B55" s="1861"/>
      <c r="C55" s="1861"/>
      <c r="D55" s="1861"/>
      <c r="E55" s="1862"/>
    </row>
    <row r="56" spans="1:10" s="237" customFormat="1" ht="19" customHeight="1" thickBot="1">
      <c r="A56" s="1886"/>
      <c r="B56" s="1887"/>
      <c r="C56" s="969">
        <v>45383</v>
      </c>
      <c r="D56" s="874">
        <v>45748</v>
      </c>
      <c r="E56" s="887"/>
    </row>
    <row r="57" spans="1:10" s="237" customFormat="1" ht="20" customHeight="1" thickBot="1">
      <c r="A57" s="1888" t="s">
        <v>387</v>
      </c>
      <c r="B57" s="1889"/>
      <c r="C57" s="970">
        <v>3680</v>
      </c>
      <c r="D57" s="875">
        <v>3769</v>
      </c>
      <c r="E57" s="888"/>
    </row>
    <row r="58" spans="1:10" s="237" customFormat="1" ht="14">
      <c r="A58" s="876"/>
      <c r="B58" s="876"/>
      <c r="C58" s="877"/>
      <c r="D58" s="877"/>
    </row>
    <row r="59" spans="1:10" ht="14">
      <c r="A59" s="876"/>
      <c r="B59" s="876"/>
      <c r="C59" s="877"/>
      <c r="D59" s="877"/>
      <c r="E59" s="237"/>
      <c r="F59" s="237"/>
      <c r="G59" s="237"/>
      <c r="H59" s="237"/>
      <c r="I59" s="237"/>
      <c r="J59" s="237"/>
    </row>
    <row r="60" spans="1:10" s="237" customFormat="1" ht="14">
      <c r="E60" s="211"/>
      <c r="F60" s="211"/>
      <c r="G60" s="211"/>
      <c r="H60" s="211"/>
      <c r="I60" s="211"/>
      <c r="J60" s="211"/>
    </row>
    <row r="61" spans="1:10" s="237" customFormat="1" ht="14"/>
    <row r="62" spans="1:10" s="237" customFormat="1" ht="14"/>
    <row r="63" spans="1:10" s="237" customFormat="1" ht="14"/>
    <row r="64" spans="1:10" s="237" customFormat="1" ht="14"/>
    <row r="65" s="237" customFormat="1" ht="14"/>
    <row r="66" s="237" customFormat="1" ht="14"/>
    <row r="67" s="237" customFormat="1" ht="14"/>
    <row r="68" s="237" customFormat="1" ht="14"/>
    <row r="69" s="237" customFormat="1" ht="14"/>
    <row r="70" s="237" customFormat="1" ht="14"/>
    <row r="71" s="237" customFormat="1" ht="14"/>
    <row r="72" s="237" customFormat="1" ht="14"/>
    <row r="73" s="237" customFormat="1" ht="14"/>
    <row r="74" s="237" customFormat="1" ht="14"/>
    <row r="75" s="237" customFormat="1" ht="14"/>
    <row r="76" s="237" customFormat="1" ht="14"/>
    <row r="77" s="237" customFormat="1" ht="14"/>
    <row r="78" s="237" customFormat="1" ht="14"/>
    <row r="79" s="237" customFormat="1" ht="14"/>
    <row r="80" s="237" customFormat="1" ht="14"/>
    <row r="81" s="237" customFormat="1" ht="14"/>
    <row r="82" s="237" customFormat="1" ht="14"/>
    <row r="83" s="237" customFormat="1" ht="14"/>
    <row r="84" s="237" customFormat="1" ht="14"/>
    <row r="85" s="237" customFormat="1" ht="14"/>
    <row r="86" s="237" customFormat="1" ht="14"/>
    <row r="87" s="237" customFormat="1" ht="14"/>
    <row r="88" s="237" customFormat="1" ht="14"/>
    <row r="89" s="237" customFormat="1" ht="14"/>
    <row r="90" s="237" customFormat="1" ht="14"/>
    <row r="91" s="237" customFormat="1" ht="14"/>
    <row r="92" s="237" customFormat="1" ht="14"/>
    <row r="93" s="237" customFormat="1" ht="14"/>
    <row r="94" s="237" customFormat="1" ht="14"/>
    <row r="95" s="237" customFormat="1" ht="14"/>
    <row r="96" s="237" customFormat="1" ht="14"/>
    <row r="97" s="237" customFormat="1" ht="14"/>
    <row r="98" s="237" customFormat="1" ht="14"/>
    <row r="99" s="237" customFormat="1" ht="14"/>
    <row r="100" s="237" customFormat="1" ht="14"/>
    <row r="101" s="237" customFormat="1" ht="14"/>
    <row r="102" s="237" customFormat="1" ht="14"/>
    <row r="103" s="237" customFormat="1" ht="14"/>
    <row r="104" s="237" customFormat="1" ht="14"/>
    <row r="105" s="237" customFormat="1" ht="14"/>
    <row r="106" s="237" customFormat="1" ht="14"/>
    <row r="107" s="237" customFormat="1" ht="14"/>
    <row r="108" s="237" customFormat="1" ht="14"/>
    <row r="109" s="237" customFormat="1" ht="14"/>
    <row r="110" s="237" customFormat="1" ht="14"/>
    <row r="111" s="237" customFormat="1" ht="14"/>
    <row r="112" s="237" customFormat="1" ht="14"/>
    <row r="113" spans="1:10" s="237" customFormat="1" ht="14"/>
    <row r="114" spans="1:10" s="237" customFormat="1" ht="14"/>
    <row r="115" spans="1:10" s="237" customFormat="1" ht="14"/>
    <row r="116" spans="1:10" s="237" customFormat="1" ht="14"/>
    <row r="117" spans="1:10" s="237" customFormat="1" ht="14"/>
    <row r="118" spans="1:10" s="237" customFormat="1" ht="14"/>
    <row r="119" spans="1:10" s="237" customFormat="1" ht="14"/>
    <row r="120" spans="1:10" ht="14">
      <c r="A120" s="237"/>
      <c r="B120" s="237"/>
      <c r="C120" s="237"/>
      <c r="D120" s="237"/>
      <c r="E120" s="237"/>
      <c r="F120" s="237"/>
      <c r="G120" s="237"/>
      <c r="H120" s="237"/>
      <c r="I120" s="237"/>
      <c r="J120" s="237"/>
    </row>
    <row r="121" spans="1:10" ht="14">
      <c r="A121" s="237"/>
      <c r="B121" s="237"/>
      <c r="C121" s="237"/>
      <c r="D121" s="237"/>
      <c r="E121" s="237"/>
      <c r="F121" s="237"/>
      <c r="G121" s="237"/>
      <c r="H121" s="237"/>
      <c r="I121" s="237"/>
      <c r="J121" s="237"/>
    </row>
    <row r="122" spans="1:10" ht="14">
      <c r="A122" s="237"/>
      <c r="B122" s="237"/>
      <c r="C122" s="237"/>
      <c r="D122" s="237"/>
      <c r="E122" s="237"/>
      <c r="F122" s="237"/>
      <c r="G122" s="237"/>
      <c r="H122" s="237"/>
      <c r="I122" s="237"/>
      <c r="J122" s="237"/>
    </row>
    <row r="123" spans="1:10" ht="14">
      <c r="A123" s="237"/>
      <c r="B123" s="237"/>
      <c r="C123" s="237"/>
      <c r="D123" s="237"/>
      <c r="E123" s="237"/>
      <c r="F123" s="237"/>
      <c r="G123" s="237"/>
      <c r="H123" s="237"/>
      <c r="I123" s="237"/>
      <c r="J123" s="237"/>
    </row>
    <row r="124" spans="1:10" ht="14">
      <c r="A124" s="237"/>
      <c r="B124" s="237"/>
      <c r="C124" s="237"/>
      <c r="D124" s="237"/>
      <c r="E124" s="237"/>
      <c r="F124" s="237"/>
      <c r="G124" s="237"/>
      <c r="H124" s="237"/>
      <c r="I124" s="237"/>
      <c r="J124" s="237"/>
    </row>
    <row r="125" spans="1:10" ht="14">
      <c r="A125" s="237"/>
      <c r="B125" s="237"/>
      <c r="C125" s="237"/>
      <c r="D125" s="237"/>
      <c r="E125" s="237"/>
      <c r="F125" s="237"/>
      <c r="G125" s="237"/>
      <c r="H125" s="237"/>
      <c r="I125" s="237"/>
      <c r="J125" s="237"/>
    </row>
    <row r="126" spans="1:10" ht="14">
      <c r="A126" s="237"/>
      <c r="B126" s="237"/>
      <c r="C126" s="237"/>
      <c r="D126" s="237"/>
      <c r="E126" s="237"/>
      <c r="F126" s="237"/>
      <c r="G126" s="237"/>
      <c r="H126" s="237"/>
      <c r="I126" s="237"/>
      <c r="J126" s="237"/>
    </row>
    <row r="127" spans="1:10" ht="14">
      <c r="A127" s="237"/>
      <c r="B127" s="237"/>
      <c r="C127" s="237"/>
      <c r="D127" s="237"/>
    </row>
    <row r="128" spans="1:10" ht="14">
      <c r="A128" s="237"/>
      <c r="B128" s="237"/>
      <c r="C128" s="237"/>
      <c r="D128" s="237"/>
    </row>
    <row r="129" spans="1:4" ht="14">
      <c r="A129" s="237"/>
      <c r="B129" s="237"/>
      <c r="C129" s="237"/>
      <c r="D129" s="237"/>
    </row>
    <row r="130" spans="1:4" ht="14">
      <c r="A130" s="237"/>
      <c r="B130" s="237"/>
      <c r="C130" s="237"/>
      <c r="D130" s="237"/>
    </row>
    <row r="131" spans="1:4" ht="14">
      <c r="A131" s="237"/>
      <c r="B131" s="237"/>
      <c r="C131" s="237"/>
      <c r="D131" s="237"/>
    </row>
    <row r="132" spans="1:4" ht="14">
      <c r="A132" s="237"/>
      <c r="B132" s="237"/>
      <c r="C132" s="237"/>
      <c r="D132" s="237"/>
    </row>
    <row r="133" spans="1:4" ht="14">
      <c r="A133" s="237"/>
      <c r="B133" s="237"/>
      <c r="C133" s="237"/>
      <c r="D133" s="237"/>
    </row>
  </sheetData>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30:B30"/>
    <mergeCell ref="A1:J1"/>
    <mergeCell ref="A2:J2"/>
    <mergeCell ref="A3:J3"/>
    <mergeCell ref="A4:J4"/>
    <mergeCell ref="A6:J6"/>
    <mergeCell ref="A16:D16"/>
    <mergeCell ref="A17:D17"/>
    <mergeCell ref="A21:E21"/>
    <mergeCell ref="A27:F27"/>
    <mergeCell ref="A28:C28"/>
    <mergeCell ref="A29:B29"/>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2"/>
  <sheetViews>
    <sheetView view="pageBreakPreview" topLeftCell="A75" zoomScaleSheetLayoutView="100" workbookViewId="0">
      <selection activeCell="A93" sqref="A93:H97"/>
    </sheetView>
  </sheetViews>
  <sheetFormatPr defaultColWidth="8.81640625" defaultRowHeight="14.5"/>
  <cols>
    <col min="1" max="1" width="13.36328125" customWidth="1"/>
    <col min="2" max="3" width="11.36328125" customWidth="1"/>
    <col min="4" max="6" width="9.81640625" customWidth="1"/>
    <col min="7" max="7" width="12.6328125" customWidth="1"/>
    <col min="8" max="8" width="12.08984375" customWidth="1"/>
    <col min="9" max="9" width="9.6328125" customWidth="1"/>
    <col min="10" max="10" width="20" customWidth="1"/>
    <col min="11" max="11" width="9.6328125" bestFit="1" customWidth="1"/>
  </cols>
  <sheetData>
    <row r="1" spans="1:20" ht="30" customHeight="1" thickBot="1">
      <c r="A1" s="1921" t="s">
        <v>128</v>
      </c>
      <c r="B1" s="1922"/>
      <c r="C1" s="1922"/>
      <c r="D1" s="1922"/>
      <c r="E1" s="1922"/>
      <c r="F1" s="1922"/>
      <c r="G1" s="1922"/>
      <c r="H1" s="1923"/>
      <c r="I1" s="1938"/>
      <c r="J1" s="1939"/>
    </row>
    <row r="2" spans="1:20" ht="12" customHeight="1" thickBot="1">
      <c r="A2" s="1937"/>
      <c r="B2" s="1937"/>
      <c r="C2" s="1937"/>
      <c r="D2" s="1937"/>
      <c r="E2" s="1937"/>
      <c r="F2" s="1937"/>
      <c r="G2" s="1937"/>
      <c r="H2" s="1937"/>
      <c r="I2" s="1937"/>
      <c r="J2" s="1937"/>
      <c r="K2" s="2"/>
      <c r="L2" s="2"/>
      <c r="M2" s="2"/>
    </row>
    <row r="3" spans="1:20" ht="26" customHeight="1" thickBot="1">
      <c r="A3" s="1091" t="s">
        <v>518</v>
      </c>
      <c r="B3" s="1092"/>
      <c r="C3" s="1092"/>
      <c r="D3" s="1092"/>
      <c r="E3" s="1092"/>
      <c r="F3" s="1092"/>
      <c r="G3" s="1092"/>
      <c r="H3" s="1145"/>
      <c r="I3" s="1940"/>
      <c r="J3" s="1565"/>
      <c r="K3" s="2"/>
    </row>
    <row r="4" spans="1:20" ht="21" customHeight="1" thickBot="1">
      <c r="A4" s="88"/>
      <c r="B4" s="1948" t="s">
        <v>37</v>
      </c>
      <c r="C4" s="1949"/>
      <c r="D4" s="1949"/>
      <c r="E4" s="1949"/>
      <c r="F4" s="1949"/>
      <c r="G4" s="1949"/>
      <c r="H4" s="1950"/>
      <c r="I4" s="1940"/>
      <c r="J4" s="1565"/>
      <c r="K4" s="2"/>
    </row>
    <row r="5" spans="1:20" ht="15" customHeight="1">
      <c r="A5" s="1914"/>
      <c r="B5" s="1430" t="s">
        <v>34</v>
      </c>
      <c r="C5" s="1357"/>
      <c r="D5" s="1430" t="s">
        <v>105</v>
      </c>
      <c r="E5" s="1357"/>
      <c r="F5" s="1430" t="s">
        <v>106</v>
      </c>
      <c r="G5" s="1357"/>
      <c r="H5" s="1918" t="s">
        <v>107</v>
      </c>
      <c r="I5" s="1940"/>
      <c r="J5" s="1565"/>
      <c r="K5" s="2"/>
    </row>
    <row r="6" spans="1:20" ht="33.75" customHeight="1" thickBot="1">
      <c r="A6" s="1915"/>
      <c r="B6" s="1916"/>
      <c r="C6" s="1917"/>
      <c r="D6" s="1916"/>
      <c r="E6" s="1917"/>
      <c r="F6" s="1916"/>
      <c r="G6" s="1917"/>
      <c r="H6" s="1919"/>
      <c r="I6" s="1940"/>
      <c r="J6" s="1565"/>
      <c r="K6" s="2"/>
    </row>
    <row r="7" spans="1:20" ht="17" customHeight="1">
      <c r="A7" s="89" t="s">
        <v>35</v>
      </c>
      <c r="B7" s="1942">
        <v>99</v>
      </c>
      <c r="C7" s="1943"/>
      <c r="D7" s="1942">
        <v>66</v>
      </c>
      <c r="E7" s="1943"/>
      <c r="F7" s="1924">
        <v>33</v>
      </c>
      <c r="G7" s="1924"/>
      <c r="H7" s="129">
        <v>0</v>
      </c>
      <c r="I7" s="1940"/>
      <c r="J7" s="1565"/>
      <c r="K7" s="2"/>
    </row>
    <row r="8" spans="1:20" ht="17" customHeight="1" thickBot="1">
      <c r="A8" s="90" t="s">
        <v>36</v>
      </c>
      <c r="B8" s="1925">
        <v>198</v>
      </c>
      <c r="C8" s="1926"/>
      <c r="D8" s="1944">
        <v>132</v>
      </c>
      <c r="E8" s="1945"/>
      <c r="F8" s="1920">
        <v>66</v>
      </c>
      <c r="G8" s="1920"/>
      <c r="H8" s="130">
        <v>0</v>
      </c>
      <c r="I8" s="1940"/>
      <c r="J8" s="1565"/>
      <c r="K8" s="2"/>
    </row>
    <row r="9" spans="1:20" ht="17" customHeight="1" thickBot="1">
      <c r="A9" s="91" t="s">
        <v>22</v>
      </c>
      <c r="B9" s="1927">
        <f>SUM(B7:C8)</f>
        <v>297</v>
      </c>
      <c r="C9" s="1927"/>
      <c r="D9" s="1946">
        <f>SUM(D7:E8)</f>
        <v>198</v>
      </c>
      <c r="E9" s="1947"/>
      <c r="F9" s="1927">
        <f>SUM(F7:G8)</f>
        <v>99</v>
      </c>
      <c r="G9" s="1927"/>
      <c r="H9" s="131">
        <f>SUM(H7:I8)</f>
        <v>0</v>
      </c>
      <c r="I9" s="1940"/>
      <c r="J9" s="1565"/>
      <c r="K9" s="132"/>
    </row>
    <row r="10" spans="1:20" ht="17" customHeight="1">
      <c r="A10" s="1941" t="s">
        <v>477</v>
      </c>
      <c r="B10" s="1941"/>
      <c r="C10" s="1941"/>
      <c r="D10" s="1941"/>
      <c r="E10" s="1941"/>
      <c r="F10" s="1941"/>
      <c r="G10" s="1941"/>
      <c r="H10" s="1941"/>
      <c r="I10" s="973"/>
      <c r="J10" s="973"/>
      <c r="K10" s="6"/>
      <c r="L10" s="2"/>
      <c r="M10" s="132"/>
    </row>
    <row r="11" spans="1:20" ht="16" customHeight="1" thickBot="1">
      <c r="A11" s="1937"/>
      <c r="B11" s="1937"/>
      <c r="C11" s="1937"/>
      <c r="D11" s="1937"/>
      <c r="E11" s="1937"/>
      <c r="F11" s="1937"/>
      <c r="G11" s="1937"/>
      <c r="H11" s="1937"/>
      <c r="I11" s="1937"/>
      <c r="J11" s="1937"/>
      <c r="K11" s="2"/>
      <c r="L11" s="2"/>
      <c r="M11" s="2"/>
    </row>
    <row r="12" spans="1:20" s="2" customFormat="1" ht="26" customHeight="1" thickBot="1">
      <c r="A12" s="1929" t="s">
        <v>67</v>
      </c>
      <c r="B12" s="1930"/>
      <c r="C12" s="1930"/>
      <c r="D12" s="1930"/>
      <c r="E12" s="1930"/>
      <c r="F12" s="1930"/>
      <c r="G12" s="1930"/>
      <c r="H12" s="1931"/>
      <c r="M12" s="16"/>
      <c r="N12" s="16"/>
      <c r="O12" s="16"/>
      <c r="P12" s="16"/>
      <c r="Q12" s="16"/>
      <c r="R12" s="16"/>
      <c r="S12" s="16"/>
      <c r="T12" s="16"/>
    </row>
    <row r="13" spans="1:20" s="2" customFormat="1" ht="21" customHeight="1" thickBot="1">
      <c r="A13" s="1932" t="s">
        <v>207</v>
      </c>
      <c r="B13" s="1933"/>
      <c r="C13" s="1933"/>
      <c r="D13" s="1933"/>
      <c r="E13" s="1933"/>
      <c r="F13" s="1933"/>
      <c r="G13" s="1934"/>
      <c r="H13" s="104" t="s">
        <v>66</v>
      </c>
      <c r="M13" s="16"/>
      <c r="N13" s="16"/>
      <c r="O13" s="16"/>
      <c r="P13" s="16"/>
      <c r="Q13" s="16"/>
      <c r="R13" s="16"/>
      <c r="S13" s="16"/>
      <c r="T13" s="16"/>
    </row>
    <row r="14" spans="1:20" s="2" customFormat="1" ht="17" customHeight="1" thickBot="1">
      <c r="A14" s="1959" t="s">
        <v>68</v>
      </c>
      <c r="B14" s="1960"/>
      <c r="C14" s="1960"/>
      <c r="D14" s="1960"/>
      <c r="E14" s="1960"/>
      <c r="F14" s="1960"/>
      <c r="G14" s="1961"/>
      <c r="H14" s="105">
        <v>108.35</v>
      </c>
      <c r="M14" s="16"/>
      <c r="N14" s="16"/>
      <c r="O14" s="16"/>
      <c r="P14" s="16"/>
      <c r="Q14" s="16"/>
      <c r="R14" s="16"/>
      <c r="S14" s="16"/>
      <c r="T14" s="16"/>
    </row>
    <row r="15" spans="1:20" s="2" customFormat="1" ht="21" customHeight="1" thickBot="1">
      <c r="A15" s="1962" t="s">
        <v>450</v>
      </c>
      <c r="B15" s="1963"/>
      <c r="C15" s="1963"/>
      <c r="D15" s="1963"/>
      <c r="E15" s="1963"/>
      <c r="F15" s="1963"/>
      <c r="G15" s="1964"/>
      <c r="H15" s="106" t="s">
        <v>92</v>
      </c>
      <c r="M15" s="16"/>
      <c r="N15" s="16"/>
      <c r="O15" s="16"/>
      <c r="P15" s="16"/>
      <c r="Q15" s="16"/>
      <c r="R15" s="16"/>
      <c r="S15" s="16"/>
      <c r="T15" s="16"/>
    </row>
    <row r="16" spans="1:20" s="2" customFormat="1" ht="16" customHeight="1">
      <c r="A16" s="1965" t="s">
        <v>509</v>
      </c>
      <c r="B16" s="1966"/>
      <c r="C16" s="1966"/>
      <c r="D16" s="1966"/>
      <c r="E16" s="1966"/>
      <c r="F16" s="1966"/>
      <c r="G16" s="1967"/>
      <c r="H16" s="1971">
        <v>176.5</v>
      </c>
      <c r="M16" s="16"/>
      <c r="N16" s="16"/>
      <c r="O16" s="16"/>
      <c r="P16" s="16"/>
      <c r="Q16" s="16"/>
      <c r="R16" s="16"/>
      <c r="S16" s="16"/>
      <c r="T16" s="16"/>
    </row>
    <row r="17" spans="1:20" s="2" customFormat="1" ht="47" customHeight="1" thickBot="1">
      <c r="A17" s="1968"/>
      <c r="B17" s="1969"/>
      <c r="C17" s="1969"/>
      <c r="D17" s="1969"/>
      <c r="E17" s="1969"/>
      <c r="F17" s="1969"/>
      <c r="G17" s="1970"/>
      <c r="H17" s="1972"/>
      <c r="M17" s="16"/>
      <c r="N17" s="16"/>
      <c r="O17" s="16"/>
      <c r="P17" s="16"/>
      <c r="Q17" s="16"/>
      <c r="R17" s="16"/>
      <c r="S17" s="16"/>
      <c r="T17" s="16"/>
    </row>
    <row r="18" spans="1:20" s="2" customFormat="1" ht="16" customHeight="1" thickBot="1">
      <c r="A18" s="20"/>
      <c r="B18" s="20"/>
      <c r="C18" s="20"/>
      <c r="D18" s="20"/>
      <c r="E18" s="20"/>
      <c r="F18" s="20"/>
      <c r="G18" s="20"/>
      <c r="H18" s="20"/>
      <c r="M18" s="16"/>
      <c r="N18" s="16"/>
      <c r="O18" s="16"/>
      <c r="P18" s="16"/>
      <c r="Q18" s="16"/>
      <c r="R18" s="16"/>
      <c r="S18" s="16"/>
      <c r="T18" s="16"/>
    </row>
    <row r="19" spans="1:20" ht="26" customHeight="1" thickBot="1">
      <c r="A19" s="1091" t="s">
        <v>270</v>
      </c>
      <c r="B19" s="1092"/>
      <c r="C19" s="1092"/>
      <c r="D19" s="1092"/>
      <c r="E19" s="1092"/>
      <c r="F19" s="1092"/>
      <c r="G19" s="1092"/>
      <c r="H19" s="1145"/>
      <c r="I19" s="20"/>
      <c r="J19" s="20"/>
      <c r="K19" s="2"/>
      <c r="L19" s="2"/>
      <c r="M19" s="2"/>
    </row>
    <row r="20" spans="1:20" ht="24" customHeight="1">
      <c r="A20" s="1974" t="s">
        <v>38</v>
      </c>
      <c r="B20" s="1430" t="s">
        <v>42</v>
      </c>
      <c r="C20" s="1928"/>
      <c r="D20" s="1357"/>
      <c r="E20" s="1430" t="s">
        <v>42</v>
      </c>
      <c r="F20" s="1928"/>
      <c r="G20" s="1928"/>
      <c r="H20" s="1357"/>
      <c r="I20" s="17"/>
      <c r="J20" s="17"/>
      <c r="K20" s="17"/>
      <c r="L20" s="2"/>
      <c r="M20" s="2"/>
      <c r="N20" s="2"/>
    </row>
    <row r="21" spans="1:20" ht="15" thickBot="1">
      <c r="A21" s="1915"/>
      <c r="B21" s="1956">
        <v>40999</v>
      </c>
      <c r="C21" s="1957"/>
      <c r="D21" s="1958"/>
      <c r="E21" s="1956" t="str">
        <f>'Løntabel gældende fra'!$D$1</f>
        <v>01-04-2025</v>
      </c>
      <c r="F21" s="1957"/>
      <c r="G21" s="1957"/>
      <c r="H21" s="1958"/>
      <c r="I21" s="1955"/>
      <c r="J21" s="1955"/>
      <c r="K21" s="1955"/>
      <c r="L21" s="2"/>
      <c r="M21" s="2"/>
      <c r="N21" s="2"/>
    </row>
    <row r="22" spans="1:20" ht="17" customHeight="1">
      <c r="A22" s="84" t="s">
        <v>39</v>
      </c>
      <c r="B22" s="1980">
        <v>6000</v>
      </c>
      <c r="C22" s="1981"/>
      <c r="D22" s="1982"/>
      <c r="E22" s="1975">
        <f>ROUND(B22+B22*'Løntabel gældende fra'!$D$7%,2)</f>
        <v>7398.57</v>
      </c>
      <c r="F22" s="1975"/>
      <c r="G22" s="1975"/>
      <c r="H22" s="1976"/>
      <c r="I22" s="1955"/>
      <c r="J22" s="1955"/>
      <c r="K22" s="1955"/>
      <c r="L22" s="2"/>
      <c r="M22" s="2"/>
      <c r="N22" s="2"/>
    </row>
    <row r="23" spans="1:20" ht="17" customHeight="1">
      <c r="A23" s="85" t="s">
        <v>40</v>
      </c>
      <c r="B23" s="1983">
        <v>7600</v>
      </c>
      <c r="C23" s="1984"/>
      <c r="D23" s="1985"/>
      <c r="E23" s="1978">
        <f>ROUND(B23+B23*'Løntabel gældende fra'!$D$7%,2)</f>
        <v>9371.52</v>
      </c>
      <c r="F23" s="1978"/>
      <c r="G23" s="1978"/>
      <c r="H23" s="1979"/>
      <c r="I23" s="1977"/>
      <c r="J23" s="1977"/>
      <c r="K23" s="24"/>
      <c r="L23" s="2"/>
      <c r="M23" s="2"/>
      <c r="N23" s="2"/>
    </row>
    <row r="24" spans="1:20" ht="17" customHeight="1" thickBot="1">
      <c r="A24" s="86" t="s">
        <v>41</v>
      </c>
      <c r="B24" s="1988">
        <v>9000</v>
      </c>
      <c r="C24" s="1989"/>
      <c r="D24" s="1990"/>
      <c r="E24" s="1986">
        <f>ROUND(B24+B24*'Løntabel gældende fra'!$D$7%,2)</f>
        <v>11097.86</v>
      </c>
      <c r="F24" s="1986"/>
      <c r="G24" s="1986"/>
      <c r="H24" s="1987"/>
      <c r="I24" s="1973"/>
      <c r="J24" s="1973"/>
      <c r="K24" s="25"/>
      <c r="L24" s="2"/>
      <c r="M24" s="2"/>
      <c r="N24" s="2"/>
    </row>
    <row r="25" spans="1:20" ht="14" customHeight="1" thickBot="1">
      <c r="A25" s="2"/>
      <c r="B25" s="2"/>
      <c r="C25" s="2"/>
      <c r="D25" s="2"/>
      <c r="E25" s="2"/>
      <c r="F25" s="2"/>
      <c r="G25" s="2"/>
      <c r="H25" s="2"/>
      <c r="I25" s="1973"/>
      <c r="J25" s="1973"/>
      <c r="K25" s="25"/>
      <c r="L25" s="2"/>
      <c r="M25" s="2"/>
      <c r="N25" s="2"/>
    </row>
    <row r="26" spans="1:20" ht="26" customHeight="1" thickBot="1">
      <c r="A26" s="1091" t="s">
        <v>357</v>
      </c>
      <c r="B26" s="1092"/>
      <c r="C26" s="1092"/>
      <c r="D26" s="1092"/>
      <c r="E26" s="1092"/>
      <c r="F26" s="1092"/>
      <c r="G26" s="1092"/>
      <c r="H26" s="1145"/>
      <c r="I26" s="2"/>
      <c r="J26" s="2"/>
      <c r="K26" s="2"/>
      <c r="L26" s="2"/>
      <c r="M26" s="2"/>
    </row>
    <row r="27" spans="1:20" ht="18.75" customHeight="1" thickBot="1">
      <c r="A27" s="2008" t="str">
        <f>'Forside 1'!A6</f>
        <v>Gældende fra 1. april 2025</v>
      </c>
      <c r="B27" s="2009"/>
      <c r="C27" s="2009"/>
      <c r="D27" s="2010"/>
      <c r="E27" s="1087" t="s">
        <v>133</v>
      </c>
      <c r="F27" s="1088"/>
      <c r="G27" s="1902" t="s">
        <v>134</v>
      </c>
      <c r="H27" s="1904"/>
      <c r="I27" s="205"/>
      <c r="J27" s="2"/>
      <c r="K27" s="2"/>
      <c r="L27" s="2"/>
      <c r="M27" s="2"/>
    </row>
    <row r="28" spans="1:20" ht="62" customHeight="1" thickBot="1">
      <c r="A28" s="2011"/>
      <c r="B28" s="2012"/>
      <c r="C28" s="2012"/>
      <c r="D28" s="2013"/>
      <c r="E28" s="534" t="s">
        <v>360</v>
      </c>
      <c r="F28" s="534" t="s">
        <v>299</v>
      </c>
      <c r="G28" s="505" t="s">
        <v>360</v>
      </c>
      <c r="H28" s="535" t="s">
        <v>299</v>
      </c>
      <c r="I28" s="567"/>
      <c r="J28" s="567"/>
      <c r="K28" s="26"/>
      <c r="L28" s="2"/>
      <c r="M28" s="2"/>
      <c r="N28" s="2"/>
    </row>
    <row r="29" spans="1:20" ht="17" customHeight="1">
      <c r="A29" s="1905" t="s">
        <v>135</v>
      </c>
      <c r="B29" s="1906"/>
      <c r="C29" s="1906"/>
      <c r="D29" s="566"/>
      <c r="E29" s="536">
        <v>513</v>
      </c>
      <c r="F29" s="201">
        <f t="shared" ref="F29:F34" si="0">ROUND(E29/24,2)</f>
        <v>21.38</v>
      </c>
      <c r="G29" s="269">
        <v>597</v>
      </c>
      <c r="H29" s="540">
        <f t="shared" ref="H29:H34" si="1">ROUND(G29/24,2)</f>
        <v>24.88</v>
      </c>
      <c r="I29" s="567"/>
      <c r="J29" s="567"/>
      <c r="K29" s="26"/>
      <c r="L29" s="2"/>
      <c r="M29" s="2"/>
      <c r="N29" s="2"/>
    </row>
    <row r="30" spans="1:20" ht="17" customHeight="1">
      <c r="A30" s="2006" t="s">
        <v>302</v>
      </c>
      <c r="B30" s="2007"/>
      <c r="C30" s="2007"/>
      <c r="D30" s="565"/>
      <c r="E30" s="537">
        <f>(E29*15)/100</f>
        <v>76.95</v>
      </c>
      <c r="F30" s="202">
        <f t="shared" si="0"/>
        <v>3.21</v>
      </c>
      <c r="G30" s="270">
        <f>(G29*15)/100</f>
        <v>89.55</v>
      </c>
      <c r="H30" s="541">
        <f t="shared" si="1"/>
        <v>3.73</v>
      </c>
      <c r="I30" s="200"/>
      <c r="K30" s="46"/>
      <c r="L30" s="2"/>
      <c r="M30" s="2"/>
      <c r="N30" s="2"/>
    </row>
    <row r="31" spans="1:20" ht="17" customHeight="1">
      <c r="A31" s="2006" t="s">
        <v>303</v>
      </c>
      <c r="B31" s="2007"/>
      <c r="C31" s="2007"/>
      <c r="D31" s="565"/>
      <c r="E31" s="537">
        <f>(E29*30)/100</f>
        <v>153.9</v>
      </c>
      <c r="F31" s="202">
        <f t="shared" si="0"/>
        <v>6.41</v>
      </c>
      <c r="G31" s="271">
        <f>(G29*30)/100</f>
        <v>179.1</v>
      </c>
      <c r="H31" s="541">
        <f t="shared" si="1"/>
        <v>7.46</v>
      </c>
      <c r="I31" s="200"/>
      <c r="K31" s="47"/>
      <c r="L31" s="273"/>
      <c r="M31" s="2"/>
      <c r="N31" s="2"/>
    </row>
    <row r="32" spans="1:20" ht="17" customHeight="1">
      <c r="A32" s="2006" t="s">
        <v>304</v>
      </c>
      <c r="B32" s="2007"/>
      <c r="C32" s="2007"/>
      <c r="D32" s="565"/>
      <c r="E32" s="537">
        <f>(E29*30)/100</f>
        <v>153.9</v>
      </c>
      <c r="F32" s="202">
        <f t="shared" si="0"/>
        <v>6.41</v>
      </c>
      <c r="G32" s="272">
        <f>(G29*30)/100</f>
        <v>179.1</v>
      </c>
      <c r="H32" s="541">
        <f t="shared" si="1"/>
        <v>7.46</v>
      </c>
      <c r="I32" s="200"/>
      <c r="K32" s="48"/>
      <c r="L32" s="2"/>
      <c r="M32" s="2"/>
      <c r="N32" s="2"/>
    </row>
    <row r="33" spans="1:14" ht="17" customHeight="1">
      <c r="A33" s="2006" t="s">
        <v>305</v>
      </c>
      <c r="B33" s="2007"/>
      <c r="C33" s="2007"/>
      <c r="D33" s="565"/>
      <c r="E33" s="537">
        <f>(E29*75)/100</f>
        <v>384.75</v>
      </c>
      <c r="F33" s="202">
        <f t="shared" si="0"/>
        <v>16.03</v>
      </c>
      <c r="G33" s="271">
        <f>(G29*75)/100</f>
        <v>447.75</v>
      </c>
      <c r="H33" s="541">
        <f t="shared" si="1"/>
        <v>18.66</v>
      </c>
      <c r="I33" s="200"/>
      <c r="K33" s="49"/>
      <c r="L33" s="2"/>
      <c r="M33" s="2"/>
      <c r="N33" s="2"/>
    </row>
    <row r="34" spans="1:14" ht="17" customHeight="1" thickBot="1">
      <c r="A34" s="2021" t="s">
        <v>58</v>
      </c>
      <c r="B34" s="2022"/>
      <c r="C34" s="2022"/>
      <c r="D34" s="504"/>
      <c r="E34" s="538">
        <f>E29-E33</f>
        <v>128.25</v>
      </c>
      <c r="F34" s="203">
        <f t="shared" si="0"/>
        <v>5.34</v>
      </c>
      <c r="G34" s="454">
        <f>G29-G33</f>
        <v>149.25</v>
      </c>
      <c r="H34" s="542">
        <f t="shared" si="1"/>
        <v>6.22</v>
      </c>
      <c r="I34" s="200"/>
      <c r="K34" s="49"/>
      <c r="L34" s="2"/>
      <c r="M34" s="2"/>
      <c r="N34" s="2"/>
    </row>
    <row r="35" spans="1:14" ht="17" customHeight="1" thickBot="1">
      <c r="A35" s="73"/>
      <c r="B35" s="73"/>
      <c r="C35" s="73"/>
      <c r="D35" s="93"/>
      <c r="E35" s="93"/>
      <c r="F35" s="93"/>
      <c r="G35" s="539"/>
      <c r="H35" s="200"/>
      <c r="I35" s="200"/>
      <c r="K35" s="49"/>
      <c r="L35" s="2"/>
      <c r="M35" s="2"/>
      <c r="N35" s="2"/>
    </row>
    <row r="36" spans="1:14" ht="26" customHeight="1" thickBot="1">
      <c r="A36" s="1091" t="s">
        <v>59</v>
      </c>
      <c r="B36" s="1092"/>
      <c r="C36" s="1092"/>
      <c r="D36" s="1092"/>
      <c r="E36" s="1092"/>
      <c r="F36" s="1092"/>
      <c r="G36" s="1092"/>
      <c r="H36" s="1145"/>
      <c r="J36" s="2"/>
      <c r="K36" s="2"/>
      <c r="L36" s="2"/>
      <c r="M36" s="2"/>
    </row>
    <row r="37" spans="1:14" ht="24" customHeight="1">
      <c r="A37" s="1911" t="s">
        <v>515</v>
      </c>
      <c r="B37" s="1912"/>
      <c r="C37" s="1912"/>
      <c r="D37" s="1912"/>
      <c r="E37" s="1912"/>
      <c r="F37" s="1912"/>
      <c r="G37" s="1913"/>
      <c r="H37" s="107" t="s">
        <v>66</v>
      </c>
      <c r="I37" s="529"/>
      <c r="J37" s="529"/>
      <c r="K37" s="2"/>
      <c r="L37" s="2"/>
      <c r="M37" s="2"/>
    </row>
    <row r="38" spans="1:14" ht="17.25" customHeight="1">
      <c r="A38" s="2023" t="s">
        <v>132</v>
      </c>
      <c r="B38" s="2024"/>
      <c r="C38" s="2024"/>
      <c r="D38" s="2024"/>
      <c r="E38" s="506"/>
      <c r="F38" s="506"/>
      <c r="G38" s="506"/>
      <c r="H38" s="108">
        <v>2.23</v>
      </c>
      <c r="I38" s="564"/>
      <c r="J38" s="529"/>
      <c r="K38" s="529"/>
      <c r="L38" s="2"/>
      <c r="M38" s="2"/>
      <c r="N38" s="2"/>
    </row>
    <row r="39" spans="1:14" ht="17" customHeight="1" thickBot="1">
      <c r="A39" s="2025" t="s">
        <v>462</v>
      </c>
      <c r="B39" s="2026"/>
      <c r="C39" s="2026"/>
      <c r="D39" s="2026"/>
      <c r="E39" s="507"/>
      <c r="F39" s="507"/>
      <c r="G39" s="507"/>
      <c r="H39" s="109">
        <v>3.81</v>
      </c>
      <c r="I39" s="564"/>
      <c r="J39" s="529"/>
      <c r="K39" s="529"/>
      <c r="L39" s="2"/>
      <c r="M39" s="2"/>
      <c r="N39" s="2"/>
    </row>
    <row r="40" spans="1:14" ht="17" customHeight="1">
      <c r="A40" s="1951" t="s">
        <v>475</v>
      </c>
      <c r="B40" s="1951"/>
      <c r="C40" s="1951"/>
      <c r="D40" s="1951"/>
      <c r="E40" s="508"/>
      <c r="F40" s="508"/>
      <c r="G40" s="43"/>
      <c r="H40" s="13"/>
      <c r="I40" s="13"/>
      <c r="J40" s="13"/>
      <c r="K40" s="13"/>
    </row>
    <row r="41" spans="1:14" ht="18" customHeight="1" thickBot="1">
      <c r="A41" s="13"/>
      <c r="B41" s="13"/>
      <c r="C41" s="13"/>
      <c r="D41" s="13"/>
      <c r="E41" s="13"/>
      <c r="F41" s="13"/>
      <c r="G41" s="13"/>
      <c r="H41" s="13"/>
      <c r="I41" s="13"/>
      <c r="J41" s="13"/>
    </row>
    <row r="42" spans="1:14" ht="26" customHeight="1" thickBot="1">
      <c r="A42" s="1091" t="s">
        <v>63</v>
      </c>
      <c r="B42" s="1092"/>
      <c r="C42" s="1092"/>
      <c r="D42" s="1092"/>
      <c r="E42" s="1092"/>
      <c r="F42" s="1092"/>
      <c r="G42" s="1092"/>
      <c r="H42" s="1145"/>
      <c r="I42" s="13"/>
      <c r="J42" s="13"/>
    </row>
    <row r="43" spans="1:14" ht="24" customHeight="1" thickBot="1">
      <c r="A43" s="1902" t="str">
        <f>A37</f>
        <v>Gældende fra 1. januar 2025</v>
      </c>
      <c r="B43" s="1903"/>
      <c r="C43" s="1903"/>
      <c r="D43" s="1903"/>
      <c r="E43" s="1903"/>
      <c r="F43" s="1903"/>
      <c r="G43" s="1904"/>
      <c r="H43" s="92" t="s">
        <v>66</v>
      </c>
    </row>
    <row r="44" spans="1:14" ht="19" customHeight="1">
      <c r="A44" s="1905" t="s">
        <v>64</v>
      </c>
      <c r="B44" s="1906"/>
      <c r="C44" s="1906"/>
      <c r="D44" s="1906"/>
      <c r="E44" s="1906"/>
      <c r="F44" s="1906"/>
      <c r="G44" s="1907"/>
      <c r="H44" s="110">
        <v>973</v>
      </c>
    </row>
    <row r="45" spans="1:14" ht="17" customHeight="1" thickBot="1">
      <c r="A45" s="1908" t="s">
        <v>65</v>
      </c>
      <c r="B45" s="1909"/>
      <c r="C45" s="1909"/>
      <c r="D45" s="1909"/>
      <c r="E45" s="1909"/>
      <c r="F45" s="1909"/>
      <c r="G45" s="1910"/>
      <c r="H45" s="109">
        <v>649</v>
      </c>
      <c r="I45" s="13"/>
      <c r="J45" s="13"/>
      <c r="K45" s="13"/>
    </row>
    <row r="46" spans="1:14" ht="18" customHeight="1" thickBot="1">
      <c r="A46" s="2020"/>
      <c r="B46" s="2020"/>
      <c r="C46" s="2020"/>
      <c r="D46" s="2020"/>
      <c r="E46" s="2020"/>
      <c r="F46" s="2020"/>
      <c r="G46" s="2020"/>
      <c r="H46" s="2020"/>
      <c r="I46" s="13"/>
      <c r="J46" s="13"/>
    </row>
    <row r="47" spans="1:14" ht="26" customHeight="1" thickBot="1">
      <c r="A47" s="1091" t="s">
        <v>428</v>
      </c>
      <c r="B47" s="1092"/>
      <c r="C47" s="1092"/>
      <c r="D47" s="1092"/>
      <c r="E47" s="1092"/>
      <c r="F47" s="1092"/>
      <c r="G47" s="1092"/>
      <c r="H47" s="1145"/>
      <c r="I47" s="13"/>
      <c r="J47" s="13"/>
    </row>
    <row r="48" spans="1:14" ht="24" customHeight="1" thickBot="1">
      <c r="A48" s="1902" t="str">
        <f>A43</f>
        <v>Gældende fra 1. januar 2025</v>
      </c>
      <c r="B48" s="1903"/>
      <c r="C48" s="1903"/>
      <c r="D48" s="1903"/>
      <c r="E48" s="1903"/>
      <c r="F48" s="1903"/>
      <c r="G48" s="1904"/>
      <c r="H48" s="92" t="s">
        <v>66</v>
      </c>
    </row>
    <row r="49" spans="1:16" ht="19" customHeight="1">
      <c r="A49" s="1905" t="s">
        <v>427</v>
      </c>
      <c r="B49" s="1906"/>
      <c r="C49" s="1906"/>
      <c r="D49" s="1906"/>
      <c r="E49" s="1906"/>
      <c r="F49" s="1906"/>
      <c r="G49" s="1907"/>
      <c r="H49" s="110">
        <v>973</v>
      </c>
    </row>
    <row r="50" spans="1:16" ht="17" customHeight="1" thickBot="1">
      <c r="A50" s="1908" t="s">
        <v>429</v>
      </c>
      <c r="B50" s="1909"/>
      <c r="C50" s="1909"/>
      <c r="D50" s="1909"/>
      <c r="E50" s="1909"/>
      <c r="F50" s="1909"/>
      <c r="G50" s="1910"/>
      <c r="H50" s="109">
        <v>487</v>
      </c>
    </row>
    <row r="51" spans="1:16" ht="17" customHeight="1">
      <c r="A51" s="808"/>
      <c r="B51" s="808"/>
      <c r="C51" s="808"/>
      <c r="D51" s="808"/>
      <c r="E51" s="808"/>
      <c r="F51" s="808"/>
      <c r="G51" s="808"/>
      <c r="H51" s="808"/>
    </row>
    <row r="52" spans="1:16" ht="12" customHeight="1" thickBot="1">
      <c r="A52" s="808"/>
      <c r="B52" s="808"/>
      <c r="C52" s="808"/>
      <c r="D52" s="808"/>
      <c r="E52" s="808"/>
      <c r="F52" s="808"/>
      <c r="G52" s="808"/>
    </row>
    <row r="53" spans="1:16" ht="22" customHeight="1">
      <c r="A53" s="1078" t="s">
        <v>430</v>
      </c>
      <c r="B53" s="1079"/>
      <c r="C53" s="1079"/>
      <c r="D53" s="1079"/>
      <c r="E53" s="1079"/>
      <c r="F53" s="1079"/>
      <c r="G53" s="1079"/>
      <c r="H53" s="1080"/>
    </row>
    <row r="54" spans="1:16" ht="17" customHeight="1" thickBot="1">
      <c r="A54" s="1158" t="s">
        <v>284</v>
      </c>
      <c r="B54" s="1159"/>
      <c r="C54" s="1159"/>
      <c r="D54" s="1159"/>
      <c r="E54" s="1159"/>
      <c r="F54" s="1159"/>
      <c r="G54" s="1159"/>
      <c r="H54" s="1160"/>
      <c r="I54" s="13"/>
      <c r="J54" s="13"/>
    </row>
    <row r="55" spans="1:16" ht="17" customHeight="1">
      <c r="A55" s="629"/>
      <c r="B55" s="630"/>
      <c r="C55" s="630"/>
      <c r="D55" s="630"/>
      <c r="E55" s="630"/>
      <c r="F55" s="630"/>
      <c r="G55" s="632" t="s">
        <v>98</v>
      </c>
      <c r="H55" s="631" t="s">
        <v>103</v>
      </c>
      <c r="I55" s="13"/>
      <c r="J55" s="13"/>
      <c r="K55" s="13"/>
    </row>
    <row r="56" spans="1:16" ht="18" customHeight="1" thickBot="1">
      <c r="A56" s="627"/>
      <c r="B56" s="628"/>
      <c r="C56" s="628"/>
      <c r="D56" s="628"/>
      <c r="E56" s="628"/>
      <c r="F56" s="628"/>
      <c r="G56" s="533">
        <v>40999</v>
      </c>
      <c r="H56" s="549" t="str">
        <f>'Løntabel gældende fra'!$D$1</f>
        <v>01-04-2025</v>
      </c>
      <c r="I56" s="568"/>
      <c r="J56" s="568"/>
      <c r="K56" s="568"/>
    </row>
    <row r="57" spans="1:16" ht="17" customHeight="1">
      <c r="A57" s="2071" t="s">
        <v>201</v>
      </c>
      <c r="B57" s="2072"/>
      <c r="C57" s="2072"/>
      <c r="D57" s="2072"/>
      <c r="E57" s="2072"/>
      <c r="F57" s="891" t="s">
        <v>165</v>
      </c>
      <c r="G57" s="160">
        <v>22.32</v>
      </c>
      <c r="H57" s="892">
        <f>G57+G57*'Løntabel gældende fra'!$D$7%</f>
        <v>27.522680399999999</v>
      </c>
      <c r="I57" s="568"/>
      <c r="J57" s="568"/>
      <c r="K57" s="568"/>
    </row>
    <row r="58" spans="1:16" ht="17" customHeight="1">
      <c r="A58" s="2059" t="s">
        <v>448</v>
      </c>
      <c r="B58" s="2060"/>
      <c r="C58" s="2060"/>
      <c r="D58" s="2060"/>
      <c r="E58" s="2060"/>
      <c r="F58" s="2063" t="s">
        <v>165</v>
      </c>
      <c r="G58" s="2065">
        <v>39.92</v>
      </c>
      <c r="H58" s="2067">
        <f>G58+G58*'Løntabel gældende fra'!$D$7%</f>
        <v>49.225152399999999</v>
      </c>
      <c r="I58" s="1935"/>
      <c r="J58" s="1936"/>
      <c r="K58" s="1936"/>
      <c r="L58" s="1936"/>
      <c r="M58" s="1936"/>
      <c r="N58" s="1936"/>
      <c r="O58" s="1936"/>
      <c r="P58" s="1936"/>
    </row>
    <row r="59" spans="1:16" ht="45" customHeight="1">
      <c r="A59" s="2061"/>
      <c r="B59" s="2062"/>
      <c r="C59" s="2062"/>
      <c r="D59" s="2062"/>
      <c r="E59" s="2062"/>
      <c r="F59" s="2064"/>
      <c r="G59" s="2066"/>
      <c r="H59" s="2068"/>
      <c r="I59" s="1935"/>
      <c r="J59" s="1936"/>
      <c r="K59" s="1936"/>
      <c r="L59" s="1936"/>
      <c r="M59" s="1936"/>
      <c r="N59" s="1936"/>
      <c r="O59" s="1936"/>
      <c r="P59" s="1936"/>
    </row>
    <row r="60" spans="1:16" ht="31.75" customHeight="1">
      <c r="A60" s="2069" t="s">
        <v>219</v>
      </c>
      <c r="B60" s="2070"/>
      <c r="C60" s="2070"/>
      <c r="D60" s="2070"/>
      <c r="E60" s="2070"/>
      <c r="F60" s="890" t="s">
        <v>165</v>
      </c>
      <c r="G60" s="180">
        <v>39.92</v>
      </c>
      <c r="H60" s="816">
        <f>G60+G60*'Løntabel gældende fra'!$D$7%</f>
        <v>49.225152399999999</v>
      </c>
      <c r="I60" s="1935"/>
      <c r="J60" s="1936"/>
      <c r="K60" s="1936"/>
      <c r="L60" s="1936"/>
      <c r="M60" s="1936"/>
      <c r="N60" s="1936"/>
      <c r="O60" s="1936"/>
      <c r="P60" s="1936"/>
    </row>
    <row r="61" spans="1:16" ht="17" customHeight="1">
      <c r="A61" s="2055" t="s">
        <v>164</v>
      </c>
      <c r="B61" s="2056"/>
      <c r="C61" s="2056"/>
      <c r="D61" s="2056"/>
      <c r="E61" s="2056"/>
      <c r="F61" s="818" t="s">
        <v>165</v>
      </c>
      <c r="G61" s="180">
        <v>39.92</v>
      </c>
      <c r="H61" s="816">
        <f>G61+G61*'Løntabel gældende fra'!$D$7%</f>
        <v>49.225152399999999</v>
      </c>
      <c r="I61" s="1935"/>
      <c r="J61" s="1936"/>
      <c r="K61" s="1936"/>
      <c r="L61" s="1936"/>
      <c r="M61" s="1936"/>
      <c r="N61" s="1936"/>
      <c r="O61" s="1936"/>
      <c r="P61" s="1936"/>
    </row>
    <row r="62" spans="1:16" ht="17" customHeight="1">
      <c r="A62" s="2055" t="s">
        <v>447</v>
      </c>
      <c r="B62" s="2056"/>
      <c r="C62" s="2056"/>
      <c r="D62" s="2056"/>
      <c r="E62" s="2056"/>
      <c r="F62" s="818" t="s">
        <v>165</v>
      </c>
      <c r="G62" s="180">
        <v>6.59</v>
      </c>
      <c r="H62" s="816">
        <f>G62+G62*'Løntabel gældende fra'!$D$7%</f>
        <v>8.1260960499999992</v>
      </c>
      <c r="I62" s="1935"/>
      <c r="J62" s="1936"/>
      <c r="K62" s="1936"/>
      <c r="L62" s="1936"/>
      <c r="M62" s="1936"/>
      <c r="N62" s="1936"/>
      <c r="O62" s="1936"/>
      <c r="P62" s="1936"/>
    </row>
    <row r="63" spans="1:16" ht="17" customHeight="1" thickBot="1">
      <c r="A63" s="2057" t="s">
        <v>377</v>
      </c>
      <c r="B63" s="2058"/>
      <c r="C63" s="2058"/>
      <c r="D63" s="2058"/>
      <c r="E63" s="2058"/>
      <c r="F63" s="819" t="s">
        <v>166</v>
      </c>
      <c r="G63" s="161">
        <v>61.22</v>
      </c>
      <c r="H63" s="817">
        <f>G63+G63*'Løntabel gældende fra'!$D$7%</f>
        <v>75.490075899999994</v>
      </c>
      <c r="I63" s="1935"/>
      <c r="J63" s="1936"/>
      <c r="K63" s="1936"/>
      <c r="L63" s="1936"/>
      <c r="M63" s="1936"/>
      <c r="N63" s="1936"/>
      <c r="O63" s="1936"/>
      <c r="P63" s="1936"/>
    </row>
    <row r="64" spans="1:16" ht="17" customHeight="1" thickBot="1">
      <c r="A64" s="13"/>
      <c r="B64" s="13"/>
      <c r="C64" s="13"/>
      <c r="D64" s="13"/>
      <c r="E64" s="13"/>
      <c r="F64" s="13"/>
      <c r="G64" s="13"/>
      <c r="H64" s="13"/>
      <c r="I64" s="1935"/>
      <c r="J64" s="1936"/>
      <c r="K64" s="1936"/>
      <c r="L64" s="1936"/>
      <c r="M64" s="1936"/>
      <c r="N64" s="1936"/>
      <c r="O64" s="1936"/>
      <c r="P64" s="1936"/>
    </row>
    <row r="65" spans="1:16" ht="17" customHeight="1">
      <c r="A65" s="1231" t="s">
        <v>188</v>
      </c>
      <c r="B65" s="1232"/>
      <c r="C65" s="1232"/>
      <c r="D65" s="1232"/>
      <c r="E65" s="1232"/>
      <c r="F65" s="1232"/>
      <c r="G65" s="1232"/>
      <c r="H65" s="1233"/>
      <c r="I65" s="1935"/>
      <c r="J65" s="1936"/>
      <c r="K65" s="1936"/>
      <c r="L65" s="1936"/>
      <c r="M65" s="1936"/>
      <c r="N65" s="1936"/>
      <c r="O65" s="1936"/>
      <c r="P65" s="1936"/>
    </row>
    <row r="66" spans="1:16" ht="31.75" customHeight="1" thickBot="1">
      <c r="A66" s="1952" t="s">
        <v>298</v>
      </c>
      <c r="B66" s="1953"/>
      <c r="C66" s="1953"/>
      <c r="D66" s="1953"/>
      <c r="E66" s="1953"/>
      <c r="F66" s="1953"/>
      <c r="G66" s="1953"/>
      <c r="H66" s="1954"/>
      <c r="I66" s="1935"/>
      <c r="J66" s="1936"/>
      <c r="K66" s="1936"/>
      <c r="L66" s="1936"/>
      <c r="M66" s="1936"/>
      <c r="N66" s="1936"/>
      <c r="O66" s="1936"/>
      <c r="P66" s="1936"/>
    </row>
    <row r="67" spans="1:16" ht="17" customHeight="1">
      <c r="A67" s="2014" t="s">
        <v>27</v>
      </c>
      <c r="B67" s="2015"/>
      <c r="C67" s="2015"/>
      <c r="D67" s="2016"/>
      <c r="E67" s="2014" t="s">
        <v>28</v>
      </c>
      <c r="F67" s="2015"/>
      <c r="G67" s="2015"/>
      <c r="H67" s="2016"/>
      <c r="I67" s="1935"/>
      <c r="J67" s="1936"/>
      <c r="K67" s="1936"/>
      <c r="L67" s="1936"/>
      <c r="M67" s="1936"/>
      <c r="N67" s="1936"/>
      <c r="O67" s="1936"/>
      <c r="P67" s="1936"/>
    </row>
    <row r="68" spans="1:16" ht="17" customHeight="1">
      <c r="A68" s="2017">
        <v>40999</v>
      </c>
      <c r="B68" s="2018"/>
      <c r="C68" s="2018"/>
      <c r="D68" s="2019"/>
      <c r="E68" s="2030">
        <v>0</v>
      </c>
      <c r="F68" s="2031"/>
      <c r="G68" s="2031"/>
      <c r="H68" s="2032"/>
      <c r="I68" s="1935"/>
      <c r="J68" s="1936"/>
      <c r="K68" s="1936"/>
      <c r="L68" s="1936"/>
      <c r="M68" s="1936"/>
      <c r="N68" s="1936"/>
      <c r="O68" s="1936"/>
      <c r="P68" s="1936"/>
    </row>
    <row r="69" spans="1:16" ht="17" customHeight="1">
      <c r="A69" s="2017">
        <v>41000</v>
      </c>
      <c r="B69" s="2018"/>
      <c r="C69" s="2018"/>
      <c r="D69" s="2019"/>
      <c r="E69" s="2030">
        <v>1.304</v>
      </c>
      <c r="F69" s="2031"/>
      <c r="G69" s="2031"/>
      <c r="H69" s="2032"/>
      <c r="I69" s="683"/>
      <c r="J69" s="683"/>
    </row>
    <row r="70" spans="1:16" ht="17" customHeight="1">
      <c r="A70" s="2017">
        <v>41365</v>
      </c>
      <c r="B70" s="2018"/>
      <c r="C70" s="2018"/>
      <c r="D70" s="2019"/>
      <c r="E70" s="2030">
        <v>1.304</v>
      </c>
      <c r="F70" s="2031"/>
      <c r="G70" s="2031"/>
      <c r="H70" s="2032"/>
      <c r="I70" s="17"/>
      <c r="J70" s="17"/>
    </row>
    <row r="71" spans="1:16" ht="17" customHeight="1">
      <c r="A71" s="2017">
        <v>41730</v>
      </c>
      <c r="B71" s="2018"/>
      <c r="C71" s="2018"/>
      <c r="D71" s="2019"/>
      <c r="E71" s="2030">
        <v>1.7161999999999999</v>
      </c>
      <c r="F71" s="2031"/>
      <c r="G71" s="2031"/>
      <c r="H71" s="2032"/>
      <c r="I71" s="688"/>
      <c r="J71" s="688"/>
    </row>
    <row r="72" spans="1:16" ht="17" customHeight="1">
      <c r="A72" s="2051">
        <v>42095</v>
      </c>
      <c r="B72" s="2052"/>
      <c r="C72" s="2052"/>
      <c r="D72" s="2053"/>
      <c r="E72" s="2030">
        <v>2.1745000000000001</v>
      </c>
      <c r="F72" s="2031"/>
      <c r="G72" s="2031"/>
      <c r="H72" s="2032"/>
      <c r="I72" s="689"/>
      <c r="J72" s="689"/>
    </row>
    <row r="73" spans="1:16" ht="17" customHeight="1">
      <c r="A73" s="2017">
        <v>42461</v>
      </c>
      <c r="B73" s="2018"/>
      <c r="C73" s="2018"/>
      <c r="D73" s="2019"/>
      <c r="E73" s="2030">
        <v>2.9882</v>
      </c>
      <c r="F73" s="2031"/>
      <c r="G73" s="2031"/>
      <c r="H73" s="2032"/>
      <c r="I73" s="689"/>
      <c r="J73" s="689"/>
    </row>
    <row r="74" spans="1:16" ht="17" customHeight="1">
      <c r="A74" s="2033">
        <v>42826</v>
      </c>
      <c r="B74" s="2034"/>
      <c r="C74" s="2034"/>
      <c r="D74" s="2035"/>
      <c r="E74" s="2030">
        <v>4.2446000000000002</v>
      </c>
      <c r="F74" s="2031"/>
      <c r="G74" s="2031"/>
      <c r="H74" s="2032"/>
      <c r="I74" s="689"/>
      <c r="J74" s="689"/>
    </row>
    <row r="75" spans="1:16" ht="17" customHeight="1">
      <c r="A75" s="2017">
        <v>43070</v>
      </c>
      <c r="B75" s="2018"/>
      <c r="C75" s="2018"/>
      <c r="D75" s="2019"/>
      <c r="E75" s="2030">
        <v>5.7702999999999998</v>
      </c>
      <c r="F75" s="2031"/>
      <c r="G75" s="2031"/>
      <c r="H75" s="2032"/>
      <c r="I75" s="689"/>
      <c r="J75" s="689"/>
    </row>
    <row r="76" spans="1:16" ht="17" customHeight="1">
      <c r="A76" s="2017">
        <v>43191</v>
      </c>
      <c r="B76" s="2018"/>
      <c r="C76" s="2018"/>
      <c r="D76" s="2019"/>
      <c r="E76" s="2030">
        <v>6.9683000000000002</v>
      </c>
      <c r="F76" s="2031"/>
      <c r="G76" s="2031"/>
      <c r="H76" s="2032"/>
      <c r="I76" s="689"/>
      <c r="J76" s="689"/>
    </row>
    <row r="77" spans="1:16" ht="17" customHeight="1">
      <c r="A77" s="2017">
        <v>43374</v>
      </c>
      <c r="B77" s="2018"/>
      <c r="C77" s="2018"/>
      <c r="D77" s="2019"/>
      <c r="E77" s="2030">
        <v>7.4972000000000003</v>
      </c>
      <c r="F77" s="2031"/>
      <c r="G77" s="2031"/>
      <c r="H77" s="2032"/>
      <c r="I77" s="690"/>
      <c r="J77" s="690"/>
    </row>
    <row r="78" spans="1:16" ht="17" customHeight="1">
      <c r="A78" s="2017">
        <v>43556</v>
      </c>
      <c r="B78" s="2018"/>
      <c r="C78" s="2018"/>
      <c r="D78" s="2019"/>
      <c r="E78" s="2030">
        <v>8.4910999999999994</v>
      </c>
      <c r="F78" s="2031"/>
      <c r="G78" s="2031"/>
      <c r="H78" s="2032"/>
      <c r="I78" s="688"/>
      <c r="J78" s="688"/>
    </row>
    <row r="79" spans="1:16" ht="17" customHeight="1">
      <c r="A79" s="2036">
        <v>43739</v>
      </c>
      <c r="B79" s="2037"/>
      <c r="C79" s="2037"/>
      <c r="D79" s="2038"/>
      <c r="E79" s="2039">
        <v>9.4007000000000005</v>
      </c>
      <c r="F79" s="2040"/>
      <c r="G79" s="2040"/>
      <c r="H79" s="2041"/>
      <c r="I79" s="688"/>
      <c r="J79" s="688"/>
    </row>
    <row r="80" spans="1:16" ht="17" customHeight="1">
      <c r="A80" s="2017">
        <v>43922</v>
      </c>
      <c r="B80" s="2018"/>
      <c r="C80" s="2018"/>
      <c r="D80" s="2019"/>
      <c r="E80" s="2030">
        <v>10.323600000000001</v>
      </c>
      <c r="F80" s="2031"/>
      <c r="G80" s="2031"/>
      <c r="H80" s="2032"/>
      <c r="I80" s="688"/>
      <c r="J80" s="688"/>
    </row>
    <row r="81" spans="1:10" ht="17" customHeight="1">
      <c r="A81" s="2042">
        <v>44228</v>
      </c>
      <c r="B81" s="2042"/>
      <c r="C81" s="2042"/>
      <c r="D81" s="2042"/>
      <c r="E81" s="2043">
        <v>10.2211</v>
      </c>
      <c r="F81" s="2044"/>
      <c r="G81" s="2044"/>
      <c r="H81" s="2044"/>
      <c r="I81" s="688"/>
      <c r="J81" s="688"/>
    </row>
    <row r="82" spans="1:10" ht="17" customHeight="1">
      <c r="A82" s="2042">
        <v>44287</v>
      </c>
      <c r="B82" s="2042"/>
      <c r="C82" s="2042"/>
      <c r="D82" s="2042"/>
      <c r="E82" s="2043">
        <v>11.1029</v>
      </c>
      <c r="F82" s="2044"/>
      <c r="G82" s="2044"/>
      <c r="H82" s="2044"/>
      <c r="I82" s="688"/>
      <c r="J82" s="688"/>
    </row>
    <row r="83" spans="1:10" ht="17" customHeight="1">
      <c r="A83" s="2042">
        <v>44470</v>
      </c>
      <c r="B83" s="2042"/>
      <c r="C83" s="2042"/>
      <c r="D83" s="2042"/>
      <c r="E83" s="2045">
        <v>11.4336</v>
      </c>
      <c r="F83" s="2046"/>
      <c r="G83" s="2046"/>
      <c r="H83" s="2047"/>
      <c r="I83" s="688"/>
      <c r="J83" s="688"/>
    </row>
    <row r="84" spans="1:10" ht="17" customHeight="1">
      <c r="A84" s="2042">
        <v>44652</v>
      </c>
      <c r="B84" s="2042"/>
      <c r="C84" s="2042"/>
      <c r="D84" s="2042"/>
      <c r="E84" s="2045">
        <v>13.410399999999999</v>
      </c>
      <c r="F84" s="2046"/>
      <c r="G84" s="2046"/>
      <c r="H84" s="2047"/>
      <c r="I84" s="688"/>
      <c r="J84" s="688"/>
    </row>
    <row r="85" spans="1:10" ht="17" customHeight="1">
      <c r="A85" s="2042">
        <v>44835</v>
      </c>
      <c r="B85" s="2042"/>
      <c r="C85" s="2042"/>
      <c r="D85" s="2042"/>
      <c r="E85" s="2045">
        <v>13.741099999999999</v>
      </c>
      <c r="F85" s="2046"/>
      <c r="G85" s="2046"/>
      <c r="H85" s="2047"/>
      <c r="I85" s="688"/>
      <c r="J85" s="688"/>
    </row>
    <row r="86" spans="1:10" ht="17" customHeight="1">
      <c r="A86" s="2017">
        <v>45017</v>
      </c>
      <c r="B86" s="2018"/>
      <c r="C86" s="2018"/>
      <c r="D86" s="2019"/>
      <c r="E86" s="2045">
        <v>15.533899999999999</v>
      </c>
      <c r="F86" s="2046"/>
      <c r="G86" s="2046"/>
      <c r="H86" s="2047"/>
      <c r="I86" s="688"/>
      <c r="J86" s="688"/>
    </row>
    <row r="87" spans="1:10" ht="17" customHeight="1">
      <c r="A87" s="2042">
        <v>45200</v>
      </c>
      <c r="B87" s="2042"/>
      <c r="C87" s="2042"/>
      <c r="D87" s="2042"/>
      <c r="E87" s="2045">
        <v>15.919700000000001</v>
      </c>
      <c r="F87" s="2046"/>
      <c r="G87" s="2046"/>
      <c r="H87" s="2047"/>
      <c r="I87" s="688"/>
      <c r="J87" s="688"/>
    </row>
    <row r="88" spans="1:10" ht="17" customHeight="1">
      <c r="A88" s="2042">
        <v>45383</v>
      </c>
      <c r="B88" s="2042"/>
      <c r="C88" s="2042"/>
      <c r="D88" s="2042"/>
      <c r="E88" s="2045">
        <v>22.806699999999999</v>
      </c>
      <c r="F88" s="2046"/>
      <c r="G88" s="2046"/>
      <c r="H88" s="2047"/>
      <c r="I88" s="688"/>
      <c r="J88" s="688"/>
    </row>
    <row r="89" spans="1:10" ht="17" customHeight="1" thickBot="1">
      <c r="A89" s="2054">
        <v>45748</v>
      </c>
      <c r="B89" s="2054"/>
      <c r="C89" s="2054"/>
      <c r="D89" s="2054"/>
      <c r="E89" s="2027">
        <v>23.3095</v>
      </c>
      <c r="F89" s="2028"/>
      <c r="G89" s="2028"/>
      <c r="H89" s="2029"/>
      <c r="I89" s="689"/>
      <c r="J89" s="689"/>
    </row>
    <row r="90" spans="1:10" ht="25.5" customHeight="1" thickBot="1">
      <c r="A90" s="682"/>
      <c r="B90" s="682"/>
      <c r="C90" s="682"/>
      <c r="D90" s="682"/>
      <c r="E90" s="682"/>
      <c r="F90" s="682"/>
      <c r="G90" s="682"/>
      <c r="H90" s="682"/>
      <c r="I90" s="689"/>
      <c r="J90" s="689"/>
    </row>
    <row r="91" spans="1:10" ht="18.5" thickBot="1">
      <c r="A91" s="2048" t="s">
        <v>74</v>
      </c>
      <c r="B91" s="2049"/>
      <c r="C91" s="2049"/>
      <c r="D91" s="2049"/>
      <c r="E91" s="2049"/>
      <c r="F91" s="2049"/>
      <c r="G91" s="2049"/>
      <c r="H91" s="2050"/>
      <c r="I91" s="13"/>
      <c r="J91" s="13"/>
    </row>
    <row r="92" spans="1:10" ht="15" thickBot="1">
      <c r="A92" s="1991" t="s">
        <v>75</v>
      </c>
      <c r="B92" s="1992"/>
      <c r="C92" s="1992"/>
      <c r="D92" s="1992"/>
      <c r="E92" s="1992"/>
      <c r="F92" s="1992"/>
      <c r="G92" s="1992"/>
      <c r="H92" s="1993"/>
      <c r="I92" s="688"/>
      <c r="J92" s="688"/>
    </row>
    <row r="93" spans="1:10">
      <c r="A93" s="1997" t="s">
        <v>220</v>
      </c>
      <c r="B93" s="1998"/>
      <c r="C93" s="1998"/>
      <c r="D93" s="1998"/>
      <c r="E93" s="1998"/>
      <c r="F93" s="1998"/>
      <c r="G93" s="1998"/>
      <c r="H93" s="1999"/>
    </row>
    <row r="94" spans="1:10">
      <c r="A94" s="2000"/>
      <c r="B94" s="2001"/>
      <c r="C94" s="2001"/>
      <c r="D94" s="2001"/>
      <c r="E94" s="2001"/>
      <c r="F94" s="2001"/>
      <c r="G94" s="2001"/>
      <c r="H94" s="2002"/>
      <c r="I94" s="13"/>
      <c r="J94" s="13"/>
    </row>
    <row r="95" spans="1:10">
      <c r="A95" s="2000"/>
      <c r="B95" s="2001"/>
      <c r="C95" s="2001"/>
      <c r="D95" s="2001"/>
      <c r="E95" s="2001"/>
      <c r="F95" s="2001"/>
      <c r="G95" s="2001"/>
      <c r="H95" s="2002"/>
      <c r="I95" s="688"/>
      <c r="J95" s="688"/>
    </row>
    <row r="96" spans="1:10" ht="31.5" customHeight="1">
      <c r="A96" s="2000"/>
      <c r="B96" s="2001"/>
      <c r="C96" s="2001"/>
      <c r="D96" s="2001"/>
      <c r="E96" s="2001"/>
      <c r="F96" s="2001"/>
      <c r="G96" s="2001"/>
      <c r="H96" s="2002"/>
    </row>
    <row r="97" spans="1:10" ht="6" customHeight="1" thickBot="1">
      <c r="A97" s="2003"/>
      <c r="B97" s="2004"/>
      <c r="C97" s="2004"/>
      <c r="D97" s="2004"/>
      <c r="E97" s="2004"/>
      <c r="F97" s="2004"/>
      <c r="G97" s="2004"/>
      <c r="H97" s="2005"/>
    </row>
    <row r="98" spans="1:10" ht="15" thickBot="1">
      <c r="A98" s="684"/>
      <c r="B98" s="684"/>
      <c r="C98" s="684"/>
      <c r="D98" s="684"/>
      <c r="E98" s="684"/>
      <c r="F98" s="684"/>
      <c r="G98" s="684"/>
      <c r="H98" s="684"/>
      <c r="I98" s="688"/>
      <c r="J98" s="688"/>
    </row>
    <row r="99" spans="1:10" ht="20" customHeight="1" thickBot="1">
      <c r="A99" s="1991" t="s">
        <v>76</v>
      </c>
      <c r="B99" s="1992"/>
      <c r="C99" s="1992"/>
      <c r="D99" s="1992"/>
      <c r="E99" s="1992"/>
      <c r="F99" s="1992"/>
      <c r="G99" s="1992"/>
      <c r="H99" s="1993"/>
      <c r="I99" s="689"/>
      <c r="J99" s="689"/>
    </row>
    <row r="100" spans="1:10">
      <c r="A100" s="1997" t="s">
        <v>137</v>
      </c>
      <c r="B100" s="1998"/>
      <c r="C100" s="1998"/>
      <c r="D100" s="1998"/>
      <c r="E100" s="1998"/>
      <c r="F100" s="1998"/>
      <c r="G100" s="1998"/>
      <c r="H100" s="1999"/>
      <c r="I100" s="689"/>
      <c r="J100" s="689"/>
    </row>
    <row r="101" spans="1:10" ht="22" customHeight="1" thickBot="1">
      <c r="A101" s="2003"/>
      <c r="B101" s="2004"/>
      <c r="C101" s="2004"/>
      <c r="D101" s="2004"/>
      <c r="E101" s="2004"/>
      <c r="F101" s="2004"/>
      <c r="G101" s="2004"/>
      <c r="H101" s="2005"/>
      <c r="I101" s="689"/>
      <c r="J101" s="689"/>
    </row>
    <row r="102" spans="1:10" ht="15" thickBot="1">
      <c r="A102" s="685"/>
      <c r="B102" s="685"/>
      <c r="C102" s="685"/>
      <c r="D102" s="685"/>
      <c r="E102" s="685"/>
      <c r="F102" s="685"/>
      <c r="G102" s="685"/>
      <c r="H102" s="685"/>
    </row>
    <row r="103" spans="1:10" ht="15" thickBot="1">
      <c r="A103" s="1991" t="s">
        <v>77</v>
      </c>
      <c r="B103" s="1992"/>
      <c r="C103" s="1992"/>
      <c r="D103" s="1992"/>
      <c r="E103" s="1992"/>
      <c r="F103" s="1992"/>
      <c r="G103" s="1992"/>
      <c r="H103" s="1993"/>
    </row>
    <row r="104" spans="1:10" ht="15" thickBot="1">
      <c r="A104" s="267" t="s">
        <v>80</v>
      </c>
      <c r="B104" s="266"/>
      <c r="C104" s="266"/>
      <c r="D104" s="266"/>
      <c r="E104" s="266"/>
      <c r="F104" s="266"/>
      <c r="G104" s="266"/>
      <c r="H104" s="268"/>
    </row>
    <row r="105" spans="1:10" ht="15" thickBot="1">
      <c r="A105" s="685"/>
      <c r="B105" s="685"/>
      <c r="C105" s="685"/>
      <c r="D105" s="685"/>
      <c r="E105" s="685"/>
      <c r="F105" s="685"/>
      <c r="G105" s="685"/>
      <c r="H105" s="685"/>
    </row>
    <row r="106" spans="1:10" ht="15" thickBot="1">
      <c r="A106" s="1991" t="s">
        <v>78</v>
      </c>
      <c r="B106" s="1992"/>
      <c r="C106" s="1992"/>
      <c r="D106" s="1992"/>
      <c r="E106" s="1992"/>
      <c r="F106" s="1992"/>
      <c r="G106" s="1992"/>
      <c r="H106" s="1993"/>
    </row>
    <row r="107" spans="1:10" ht="15" thickBot="1">
      <c r="A107" s="1994" t="s">
        <v>81</v>
      </c>
      <c r="B107" s="1995"/>
      <c r="C107" s="1995"/>
      <c r="D107" s="1995"/>
      <c r="E107" s="1995"/>
      <c r="F107" s="1995"/>
      <c r="G107" s="1995"/>
      <c r="H107" s="1996"/>
    </row>
    <row r="108" spans="1:10" ht="15" thickBot="1"/>
    <row r="109" spans="1:10" ht="15" thickBot="1">
      <c r="A109" s="1991" t="s">
        <v>79</v>
      </c>
      <c r="B109" s="1992"/>
      <c r="C109" s="1992"/>
      <c r="D109" s="1992"/>
      <c r="E109" s="1992"/>
      <c r="F109" s="1992"/>
      <c r="G109" s="1992"/>
      <c r="H109" s="1993"/>
    </row>
    <row r="110" spans="1:10">
      <c r="A110" s="1997" t="s">
        <v>317</v>
      </c>
      <c r="B110" s="1998"/>
      <c r="C110" s="1998"/>
      <c r="D110" s="1998"/>
      <c r="E110" s="1998"/>
      <c r="F110" s="1998"/>
      <c r="G110" s="1998"/>
      <c r="H110" s="1999"/>
    </row>
    <row r="111" spans="1:10">
      <c r="A111" s="2000"/>
      <c r="B111" s="2001"/>
      <c r="C111" s="2001"/>
      <c r="D111" s="2001"/>
      <c r="E111" s="2001"/>
      <c r="F111" s="2001"/>
      <c r="G111" s="2001"/>
      <c r="H111" s="2002"/>
    </row>
    <row r="112" spans="1:10" ht="15" thickBot="1">
      <c r="A112" s="2003"/>
      <c r="B112" s="2004"/>
      <c r="C112" s="2004"/>
      <c r="D112" s="2004"/>
      <c r="E112" s="2004"/>
      <c r="F112" s="2004"/>
      <c r="G112" s="2004"/>
      <c r="H112" s="2005"/>
    </row>
  </sheetData>
  <mergeCells count="140">
    <mergeCell ref="E67:H67"/>
    <mergeCell ref="A62:E62"/>
    <mergeCell ref="A63:E63"/>
    <mergeCell ref="A53:H53"/>
    <mergeCell ref="A54:H54"/>
    <mergeCell ref="A58:E59"/>
    <mergeCell ref="F58:F59"/>
    <mergeCell ref="G58:G59"/>
    <mergeCell ref="H58:H59"/>
    <mergeCell ref="A60:E60"/>
    <mergeCell ref="A61:E61"/>
    <mergeCell ref="A57:E57"/>
    <mergeCell ref="A103:H103"/>
    <mergeCell ref="A93:H97"/>
    <mergeCell ref="A91:H91"/>
    <mergeCell ref="A92:H92"/>
    <mergeCell ref="A99:H99"/>
    <mergeCell ref="A100:H101"/>
    <mergeCell ref="A76:D76"/>
    <mergeCell ref="E76:H76"/>
    <mergeCell ref="A70:D70"/>
    <mergeCell ref="A71:D71"/>
    <mergeCell ref="A72:D72"/>
    <mergeCell ref="A89:D89"/>
    <mergeCell ref="A77:D77"/>
    <mergeCell ref="E77:H77"/>
    <mergeCell ref="A78:D78"/>
    <mergeCell ref="E78:H78"/>
    <mergeCell ref="A80:D80"/>
    <mergeCell ref="E80:H80"/>
    <mergeCell ref="A83:D83"/>
    <mergeCell ref="E83:H83"/>
    <mergeCell ref="A84:D84"/>
    <mergeCell ref="E84:H84"/>
    <mergeCell ref="A85:D85"/>
    <mergeCell ref="E85:H85"/>
    <mergeCell ref="E89:H89"/>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88:D88"/>
    <mergeCell ref="E88:H88"/>
    <mergeCell ref="A106:H106"/>
    <mergeCell ref="A109:H109"/>
    <mergeCell ref="A107:H107"/>
    <mergeCell ref="A110:H112"/>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I24:J24"/>
    <mergeCell ref="A20:A21"/>
    <mergeCell ref="I21:J22"/>
    <mergeCell ref="E22:H22"/>
    <mergeCell ref="I23:J23"/>
    <mergeCell ref="B21:D21"/>
    <mergeCell ref="E23:H23"/>
    <mergeCell ref="B22:D22"/>
    <mergeCell ref="B23:D23"/>
    <mergeCell ref="E24:H24"/>
    <mergeCell ref="B24:D24"/>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A3:H3"/>
    <mergeCell ref="A1:H1"/>
    <mergeCell ref="F7:G7"/>
    <mergeCell ref="B8:C8"/>
    <mergeCell ref="B9:C9"/>
    <mergeCell ref="A19:H19"/>
    <mergeCell ref="B20:D20"/>
    <mergeCell ref="A12:H12"/>
    <mergeCell ref="A13:G13"/>
    <mergeCell ref="A47:H47"/>
    <mergeCell ref="A48:G48"/>
    <mergeCell ref="A49:G49"/>
    <mergeCell ref="A50:G50"/>
    <mergeCell ref="A36:H36"/>
    <mergeCell ref="A37:G37"/>
    <mergeCell ref="A5:A6"/>
    <mergeCell ref="B5:C6"/>
    <mergeCell ref="H5:H6"/>
    <mergeCell ref="F5:G6"/>
    <mergeCell ref="F8:G8"/>
    <mergeCell ref="A26:H26"/>
  </mergeCells>
  <phoneticPr fontId="7" type="noConversion"/>
  <pageMargins left="0.70866141732283472" right="0.70866141732283472" top="0.74803149606299213" bottom="0.74803149606299213" header="0.31496062992125984" footer="0.31496062992125984"/>
  <pageSetup paperSize="9" scale="96"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07" workbookViewId="0">
      <selection activeCell="D136" sqref="D136"/>
    </sheetView>
  </sheetViews>
  <sheetFormatPr defaultColWidth="8.81640625" defaultRowHeight="14.5"/>
  <cols>
    <col min="1" max="1" width="8.81640625" style="13"/>
    <col min="2" max="2" width="8.81640625" style="116" customWidth="1"/>
    <col min="3" max="3" width="12.36328125" style="13" hidden="1" customWidth="1"/>
    <col min="4" max="4" width="12.36328125" style="12" bestFit="1" customWidth="1"/>
    <col min="5" max="5" width="12.81640625" style="12" hidden="1" customWidth="1"/>
    <col min="6" max="6" width="12.36328125" style="12" bestFit="1" customWidth="1"/>
    <col min="7" max="7" width="12.81640625" style="12" hidden="1" customWidth="1"/>
    <col min="8" max="8" width="12.36328125" style="12" bestFit="1" customWidth="1"/>
    <col min="9" max="9" width="12.81640625" style="12" hidden="1" customWidth="1"/>
    <col min="10" max="10" width="12.36328125" style="12" bestFit="1" customWidth="1"/>
    <col min="11" max="11" width="15" style="12" hidden="1" customWidth="1"/>
    <col min="12" max="12" width="12.36328125" style="12" bestFit="1" customWidth="1"/>
    <col min="13" max="13" width="9.6328125" hidden="1" customWidth="1"/>
    <col min="14" max="14" width="20" style="14" hidden="1" customWidth="1"/>
    <col min="15" max="15" width="13.81640625" style="68" customWidth="1"/>
  </cols>
  <sheetData>
    <row r="1" spans="1:15" ht="40" customHeight="1" thickBot="1">
      <c r="A1" s="2078" t="str">
        <f>"Månedslønninger pr. "&amp;'Løntabel gældende fra'!D1&amp;" statens takster"</f>
        <v>Månedslønninger pr. 01-04-2025 statens takster</v>
      </c>
      <c r="B1" s="2079"/>
      <c r="C1" s="2079"/>
      <c r="D1" s="2079"/>
      <c r="E1" s="2079"/>
      <c r="F1" s="2079"/>
      <c r="G1" s="2079"/>
      <c r="H1" s="2079"/>
      <c r="I1" s="2079"/>
      <c r="J1" s="2079"/>
      <c r="K1" s="2079"/>
      <c r="L1" s="2079"/>
      <c r="M1" s="2079"/>
      <c r="N1" s="2079"/>
      <c r="O1" s="2080"/>
    </row>
    <row r="2" spans="1:15" ht="18" customHeight="1">
      <c r="A2" s="2081" t="s">
        <v>314</v>
      </c>
      <c r="B2" s="2082"/>
      <c r="C2" s="2082"/>
      <c r="D2" s="2082"/>
      <c r="E2" s="2082"/>
      <c r="F2" s="2082"/>
      <c r="G2" s="2082"/>
      <c r="H2" s="2082"/>
      <c r="I2" s="2082"/>
      <c r="J2" s="2082"/>
      <c r="K2" s="2082"/>
      <c r="L2" s="2082"/>
      <c r="M2" s="2082"/>
      <c r="N2" s="2082"/>
      <c r="O2" s="2083"/>
    </row>
    <row r="3" spans="1:15" ht="18" customHeight="1">
      <c r="A3" s="2084" t="s">
        <v>315</v>
      </c>
      <c r="B3" s="2085"/>
      <c r="C3" s="2085"/>
      <c r="D3" s="2085"/>
      <c r="E3" s="2085"/>
      <c r="F3" s="2085"/>
      <c r="G3" s="2085"/>
      <c r="H3" s="2085"/>
      <c r="I3" s="2085"/>
      <c r="J3" s="2085"/>
      <c r="K3" s="2085"/>
      <c r="L3" s="2085"/>
      <c r="M3" s="2085"/>
      <c r="N3" s="2085"/>
      <c r="O3" s="2086"/>
    </row>
    <row r="4" spans="1:15" ht="33.75" customHeight="1" thickBot="1">
      <c r="A4" s="2087"/>
      <c r="B4" s="2088"/>
      <c r="C4" s="2088"/>
      <c r="D4" s="2088"/>
      <c r="E4" s="2088"/>
      <c r="F4" s="2088"/>
      <c r="G4" s="2088"/>
      <c r="H4" s="2088"/>
      <c r="I4" s="2088"/>
      <c r="J4" s="2088"/>
      <c r="K4" s="2088"/>
      <c r="L4" s="2088"/>
      <c r="M4" s="2088"/>
      <c r="N4" s="2088"/>
      <c r="O4" s="2089"/>
    </row>
    <row r="5" spans="1:15" s="31" customFormat="1" ht="26" customHeight="1" thickBot="1">
      <c r="A5" s="336" t="s">
        <v>57</v>
      </c>
      <c r="B5" s="357"/>
      <c r="C5" s="359" t="s">
        <v>108</v>
      </c>
      <c r="D5" s="336" t="s">
        <v>52</v>
      </c>
      <c r="E5" s="357" t="s">
        <v>109</v>
      </c>
      <c r="F5" s="358" t="s">
        <v>53</v>
      </c>
      <c r="G5" s="359" t="s">
        <v>110</v>
      </c>
      <c r="H5" s="336" t="s">
        <v>54</v>
      </c>
      <c r="I5" s="357" t="s">
        <v>111</v>
      </c>
      <c r="J5" s="358" t="s">
        <v>55</v>
      </c>
      <c r="K5" s="359" t="s">
        <v>112</v>
      </c>
      <c r="L5" s="336" t="s">
        <v>56</v>
      </c>
      <c r="M5" s="360"/>
      <c r="N5" s="361" t="s">
        <v>113</v>
      </c>
      <c r="O5" s="362" t="s">
        <v>114</v>
      </c>
    </row>
    <row r="6" spans="1:15" ht="20" customHeight="1">
      <c r="A6" s="2076">
        <v>1</v>
      </c>
      <c r="B6" s="347" t="s">
        <v>96</v>
      </c>
      <c r="C6" s="190">
        <v>184817</v>
      </c>
      <c r="D6" s="183">
        <f>ROUND((C6*(1+'Løntabel gældende fra'!$D$7%)),0)</f>
        <v>227897</v>
      </c>
      <c r="E6" s="191">
        <v>188265</v>
      </c>
      <c r="F6" s="192">
        <f>ROUND((E6*(1+'Løntabel gældende fra'!$D$7%)),0)</f>
        <v>232149</v>
      </c>
      <c r="G6" s="190">
        <v>190650</v>
      </c>
      <c r="H6" s="183">
        <f>ROUND((G6*(1+'Løntabel gældende fra'!$D$7%)),0)</f>
        <v>235090</v>
      </c>
      <c r="I6" s="191">
        <v>194098</v>
      </c>
      <c r="J6" s="192">
        <f>ROUND((I6*(1+'Løntabel gældende fra'!$D$7%)),0)</f>
        <v>239341</v>
      </c>
      <c r="K6" s="190">
        <v>196484</v>
      </c>
      <c r="L6" s="183">
        <f>ROUND((K6*(1+'Løntabel gældende fra'!$D$7%)),0)</f>
        <v>242283</v>
      </c>
      <c r="M6" s="385"/>
      <c r="N6" s="365">
        <v>171917.38</v>
      </c>
      <c r="O6" s="197">
        <f>ROUND(N6*(1+'Løntabel gældende fra'!$D$7%),2)</f>
        <v>211990.46</v>
      </c>
    </row>
    <row r="7" spans="1:15">
      <c r="A7" s="2074"/>
      <c r="B7" s="369" t="s">
        <v>97</v>
      </c>
      <c r="C7" s="374">
        <f>C6/12</f>
        <v>15401.416666666666</v>
      </c>
      <c r="D7" s="381">
        <f t="shared" ref="D7:L7" si="0">ROUND(D6/12,2)</f>
        <v>18991.419999999998</v>
      </c>
      <c r="E7" s="378">
        <f>E6/12</f>
        <v>15688.75</v>
      </c>
      <c r="F7" s="363">
        <f t="shared" si="0"/>
        <v>19345.75</v>
      </c>
      <c r="G7" s="374">
        <f>G6/12</f>
        <v>15887.5</v>
      </c>
      <c r="H7" s="381">
        <f t="shared" si="0"/>
        <v>19590.830000000002</v>
      </c>
      <c r="I7" s="378">
        <f>I6/12</f>
        <v>16174.833333333334</v>
      </c>
      <c r="J7" s="363">
        <f t="shared" si="0"/>
        <v>19945.080000000002</v>
      </c>
      <c r="K7" s="374">
        <f>K6/12</f>
        <v>16373.666666666666</v>
      </c>
      <c r="L7" s="381">
        <f t="shared" si="0"/>
        <v>20190.25</v>
      </c>
      <c r="M7" s="386"/>
      <c r="N7" s="364"/>
      <c r="O7" s="366">
        <f>ROUND(O6/12,2)</f>
        <v>17665.87</v>
      </c>
    </row>
    <row r="8" spans="1:15" ht="15" thickBot="1">
      <c r="A8" s="2075"/>
      <c r="B8" s="349" t="s">
        <v>205</v>
      </c>
      <c r="C8" s="187"/>
      <c r="D8" s="188">
        <f>ROUND(D7/160.33,2)</f>
        <v>118.45</v>
      </c>
      <c r="E8" s="189"/>
      <c r="F8" s="188">
        <f t="shared" ref="F8:O8" si="1">ROUND(F7/160.33,2)</f>
        <v>120.66</v>
      </c>
      <c r="G8" s="188">
        <f t="shared" si="1"/>
        <v>99.09</v>
      </c>
      <c r="H8" s="188">
        <f t="shared" si="1"/>
        <v>122.19</v>
      </c>
      <c r="I8" s="188">
        <f t="shared" si="1"/>
        <v>100.88</v>
      </c>
      <c r="J8" s="188">
        <f t="shared" si="1"/>
        <v>124.4</v>
      </c>
      <c r="K8" s="188">
        <f t="shared" si="1"/>
        <v>102.12</v>
      </c>
      <c r="L8" s="188">
        <f t="shared" si="1"/>
        <v>125.93</v>
      </c>
      <c r="M8" s="188">
        <f t="shared" si="1"/>
        <v>0</v>
      </c>
      <c r="N8" s="188">
        <f t="shared" si="1"/>
        <v>0</v>
      </c>
      <c r="O8" s="188">
        <f t="shared" si="1"/>
        <v>110.18</v>
      </c>
    </row>
    <row r="9" spans="1:15">
      <c r="A9" s="2076">
        <v>2</v>
      </c>
      <c r="B9" s="347" t="s">
        <v>96</v>
      </c>
      <c r="C9" s="190">
        <v>187655</v>
      </c>
      <c r="D9" s="183">
        <f>ROUND((C9*(1+'Løntabel gældende fra'!$D$7%)),0)</f>
        <v>231396</v>
      </c>
      <c r="E9" s="191">
        <v>191187</v>
      </c>
      <c r="F9" s="192">
        <f>ROUND((E9*(1+'Løntabel gældende fra'!$D$7%)),0)</f>
        <v>235752</v>
      </c>
      <c r="G9" s="190">
        <v>193632</v>
      </c>
      <c r="H9" s="183">
        <f>ROUND((G9*(1+'Løntabel gældende fra'!$D$7%)),0)</f>
        <v>238767</v>
      </c>
      <c r="I9" s="191">
        <v>197161</v>
      </c>
      <c r="J9" s="192">
        <f>ROUND((I9*(1+'Løntabel gældende fra'!$D$7%)),0)</f>
        <v>243118</v>
      </c>
      <c r="K9" s="190">
        <v>199607</v>
      </c>
      <c r="L9" s="183">
        <f>ROUND((K9*(1+'Løntabel gældende fra'!$D$7%)),0)</f>
        <v>246134</v>
      </c>
      <c r="M9" s="387"/>
      <c r="N9" s="365">
        <v>174577.34</v>
      </c>
      <c r="O9" s="197">
        <f>ROUND(N9*(1+'Løntabel gældende fra'!$D$7%),2)</f>
        <v>215270.45</v>
      </c>
    </row>
    <row r="10" spans="1:15">
      <c r="A10" s="2074"/>
      <c r="B10" s="369" t="s">
        <v>97</v>
      </c>
      <c r="C10" s="374"/>
      <c r="D10" s="381">
        <f>ROUND(D9/12,2)</f>
        <v>19283</v>
      </c>
      <c r="E10" s="378"/>
      <c r="F10" s="363">
        <f>ROUND(F9/12,2)</f>
        <v>19646</v>
      </c>
      <c r="G10" s="374">
        <f>G9/12</f>
        <v>16136</v>
      </c>
      <c r="H10" s="381">
        <f>ROUND(H9/12,2)</f>
        <v>19897.25</v>
      </c>
      <c r="I10" s="378">
        <f>I9/12</f>
        <v>16430.083333333332</v>
      </c>
      <c r="J10" s="363">
        <f>ROUND(J9/12,2)</f>
        <v>20259.830000000002</v>
      </c>
      <c r="K10" s="374">
        <f>K9/12</f>
        <v>16633.916666666668</v>
      </c>
      <c r="L10" s="381">
        <f>ROUND(L9/12,2)</f>
        <v>20511.169999999998</v>
      </c>
      <c r="M10" s="386"/>
      <c r="N10" s="364"/>
      <c r="O10" s="366">
        <f>ROUND(O9/12,2)</f>
        <v>17939.2</v>
      </c>
    </row>
    <row r="11" spans="1:15" ht="15" thickBot="1">
      <c r="A11" s="2075"/>
      <c r="B11" s="349" t="s">
        <v>205</v>
      </c>
      <c r="C11" s="187">
        <f>C9/12</f>
        <v>15637.916666666666</v>
      </c>
      <c r="D11" s="188">
        <f>ROUND(D10/160.33,2)</f>
        <v>120.27</v>
      </c>
      <c r="E11" s="189">
        <f>E9/12</f>
        <v>15932.25</v>
      </c>
      <c r="F11" s="188">
        <f t="shared" ref="F11:O11" si="2">ROUND(F10/160.33,2)</f>
        <v>122.53</v>
      </c>
      <c r="G11" s="188">
        <f t="shared" si="2"/>
        <v>100.64</v>
      </c>
      <c r="H11" s="188">
        <f t="shared" si="2"/>
        <v>124.1</v>
      </c>
      <c r="I11" s="188">
        <f t="shared" si="2"/>
        <v>102.48</v>
      </c>
      <c r="J11" s="188">
        <f t="shared" si="2"/>
        <v>126.36</v>
      </c>
      <c r="K11" s="188">
        <f t="shared" si="2"/>
        <v>103.75</v>
      </c>
      <c r="L11" s="188">
        <f t="shared" si="2"/>
        <v>127.93</v>
      </c>
      <c r="M11" s="188">
        <f t="shared" si="2"/>
        <v>0</v>
      </c>
      <c r="N11" s="188">
        <f t="shared" si="2"/>
        <v>0</v>
      </c>
      <c r="O11" s="188">
        <f t="shared" si="2"/>
        <v>111.89</v>
      </c>
    </row>
    <row r="12" spans="1:15">
      <c r="A12" s="2076">
        <v>3</v>
      </c>
      <c r="B12" s="347" t="s">
        <v>96</v>
      </c>
      <c r="C12" s="190">
        <v>190571</v>
      </c>
      <c r="D12" s="183">
        <f>ROUND((C12*(1+'Løntabel gældende fra'!$D$7%)),0)</f>
        <v>234992</v>
      </c>
      <c r="E12" s="191">
        <v>194187</v>
      </c>
      <c r="F12" s="192">
        <f>ROUND((E12*(1+'Løntabel gældende fra'!$D$7%)),0)</f>
        <v>239451</v>
      </c>
      <c r="G12" s="190">
        <v>196692</v>
      </c>
      <c r="H12" s="183">
        <f>ROUND((G12*(1+'Løntabel gældende fra'!$D$7%)),0)</f>
        <v>242540</v>
      </c>
      <c r="I12" s="191">
        <v>200308</v>
      </c>
      <c r="J12" s="192">
        <f>ROUND((I12*(1+'Løntabel gældende fra'!$D$7%)),0)</f>
        <v>246999</v>
      </c>
      <c r="K12" s="190">
        <v>202814</v>
      </c>
      <c r="L12" s="183">
        <f>ROUND((K12*(1+'Løntabel gældende fra'!$D$7%)),0)</f>
        <v>250089</v>
      </c>
      <c r="M12" s="387"/>
      <c r="N12" s="365">
        <v>177309.48</v>
      </c>
      <c r="O12" s="197">
        <f>ROUND(N12*(1+'Løntabel gældende fra'!$D$7%),2)</f>
        <v>218639.43</v>
      </c>
    </row>
    <row r="13" spans="1:15">
      <c r="A13" s="2074"/>
      <c r="B13" s="369" t="s">
        <v>97</v>
      </c>
      <c r="C13" s="374">
        <f>C12/12</f>
        <v>15880.916666666666</v>
      </c>
      <c r="D13" s="381">
        <f>ROUND(D12/12,2)</f>
        <v>19582.669999999998</v>
      </c>
      <c r="E13" s="378">
        <f>E12/12</f>
        <v>16182.25</v>
      </c>
      <c r="F13" s="363">
        <f>ROUND(F12/12,2)</f>
        <v>19954.25</v>
      </c>
      <c r="G13" s="374">
        <f>G12/12</f>
        <v>16391</v>
      </c>
      <c r="H13" s="381">
        <f>ROUND(H12/12,2)</f>
        <v>20211.669999999998</v>
      </c>
      <c r="I13" s="378">
        <f>I12/12</f>
        <v>16692.333333333332</v>
      </c>
      <c r="J13" s="363">
        <f>ROUND(J12/12,2)</f>
        <v>20583.25</v>
      </c>
      <c r="K13" s="374">
        <f>K12/12</f>
        <v>16901.166666666668</v>
      </c>
      <c r="L13" s="381">
        <f>ROUND(L12/12,2)</f>
        <v>20840.75</v>
      </c>
      <c r="M13" s="386"/>
      <c r="N13" s="364"/>
      <c r="O13" s="366">
        <f>ROUND(O12/12,2)</f>
        <v>18219.95</v>
      </c>
    </row>
    <row r="14" spans="1:15" ht="15" thickBot="1">
      <c r="A14" s="2075"/>
      <c r="B14" s="349" t="s">
        <v>205</v>
      </c>
      <c r="C14" s="375"/>
      <c r="D14" s="188">
        <f>ROUND(D13/160.33,2)</f>
        <v>122.14</v>
      </c>
      <c r="E14" s="379"/>
      <c r="F14" s="188">
        <f t="shared" ref="F14:O14" si="3">ROUND(F13/160.33,2)</f>
        <v>124.46</v>
      </c>
      <c r="G14" s="188">
        <f t="shared" si="3"/>
        <v>102.23</v>
      </c>
      <c r="H14" s="188">
        <f t="shared" si="3"/>
        <v>126.06</v>
      </c>
      <c r="I14" s="188">
        <f t="shared" si="3"/>
        <v>104.11</v>
      </c>
      <c r="J14" s="188">
        <f t="shared" si="3"/>
        <v>128.38</v>
      </c>
      <c r="K14" s="188">
        <f t="shared" si="3"/>
        <v>105.41</v>
      </c>
      <c r="L14" s="188">
        <f t="shared" si="3"/>
        <v>129.99</v>
      </c>
      <c r="M14" s="188">
        <f t="shared" si="3"/>
        <v>0</v>
      </c>
      <c r="N14" s="188">
        <f t="shared" si="3"/>
        <v>0</v>
      </c>
      <c r="O14" s="188">
        <f t="shared" si="3"/>
        <v>113.64</v>
      </c>
    </row>
    <row r="15" spans="1:15">
      <c r="A15" s="2076">
        <v>4</v>
      </c>
      <c r="B15" s="347" t="s">
        <v>96</v>
      </c>
      <c r="C15" s="190">
        <v>193567</v>
      </c>
      <c r="D15" s="183">
        <f>ROUND((C15*(1+'Løntabel gældende fra'!$D$7%)),0)</f>
        <v>238686</v>
      </c>
      <c r="E15" s="191">
        <v>197274</v>
      </c>
      <c r="F15" s="192">
        <f>ROUND((E15*(1+'Løntabel gældende fra'!$D$7%)),0)</f>
        <v>243258</v>
      </c>
      <c r="G15" s="190">
        <v>199840</v>
      </c>
      <c r="H15" s="183">
        <f>ROUND((G15*(1+'Løntabel gældende fra'!$D$7%)),0)</f>
        <v>246422</v>
      </c>
      <c r="I15" s="191">
        <v>203545</v>
      </c>
      <c r="J15" s="192">
        <f>ROUND((I15*(1+'Løntabel gældende fra'!$D$7%)),0)</f>
        <v>250990</v>
      </c>
      <c r="K15" s="190">
        <v>206110</v>
      </c>
      <c r="L15" s="183">
        <f>ROUND((K15*(1+'Løntabel gældende fra'!$D$7%)),0)</f>
        <v>254153</v>
      </c>
      <c r="M15" s="387"/>
      <c r="N15" s="365">
        <v>180117.41</v>
      </c>
      <c r="O15" s="197">
        <f>ROUND(N15*(1+'Løntabel gældende fra'!$D$7%),2)</f>
        <v>222101.88</v>
      </c>
    </row>
    <row r="16" spans="1:15">
      <c r="A16" s="2074"/>
      <c r="B16" s="369" t="s">
        <v>97</v>
      </c>
      <c r="C16" s="374">
        <f>C15/12</f>
        <v>16130.583333333334</v>
      </c>
      <c r="D16" s="381">
        <f>ROUND(D15/12,2)</f>
        <v>19890.5</v>
      </c>
      <c r="E16" s="378">
        <f>E15/12</f>
        <v>16439.5</v>
      </c>
      <c r="F16" s="363">
        <f>ROUND(F15/12,2)</f>
        <v>20271.5</v>
      </c>
      <c r="G16" s="374">
        <f>G15/12</f>
        <v>16653.333333333332</v>
      </c>
      <c r="H16" s="381">
        <f>ROUND(H15/12,2)</f>
        <v>20535.169999999998</v>
      </c>
      <c r="I16" s="378">
        <f>I15/12</f>
        <v>16962.083333333332</v>
      </c>
      <c r="J16" s="363">
        <f>ROUND(J15/12,2)</f>
        <v>20915.830000000002</v>
      </c>
      <c r="K16" s="374">
        <f>K15/12</f>
        <v>17175.833333333332</v>
      </c>
      <c r="L16" s="381">
        <f>ROUND(L15/12,2)</f>
        <v>21179.42</v>
      </c>
      <c r="M16" s="386"/>
      <c r="N16" s="364"/>
      <c r="O16" s="366">
        <f>ROUND(O15/12,2)</f>
        <v>18508.490000000002</v>
      </c>
    </row>
    <row r="17" spans="1:15" ht="15" thickBot="1">
      <c r="A17" s="2075"/>
      <c r="B17" s="349" t="s">
        <v>205</v>
      </c>
      <c r="C17" s="375"/>
      <c r="D17" s="188">
        <f>ROUND(D16/160.33,2)</f>
        <v>124.06</v>
      </c>
      <c r="E17" s="379"/>
      <c r="F17" s="188">
        <f t="shared" ref="F17:O17" si="4">ROUND(F16/160.33,2)</f>
        <v>126.44</v>
      </c>
      <c r="G17" s="188">
        <f t="shared" si="4"/>
        <v>103.87</v>
      </c>
      <c r="H17" s="188">
        <f t="shared" si="4"/>
        <v>128.08000000000001</v>
      </c>
      <c r="I17" s="188">
        <f t="shared" si="4"/>
        <v>105.79</v>
      </c>
      <c r="J17" s="188">
        <f t="shared" si="4"/>
        <v>130.44999999999999</v>
      </c>
      <c r="K17" s="188">
        <f t="shared" si="4"/>
        <v>107.13</v>
      </c>
      <c r="L17" s="188">
        <f t="shared" si="4"/>
        <v>132.1</v>
      </c>
      <c r="M17" s="188">
        <f t="shared" si="4"/>
        <v>0</v>
      </c>
      <c r="N17" s="188">
        <f t="shared" si="4"/>
        <v>0</v>
      </c>
      <c r="O17" s="188">
        <f t="shared" si="4"/>
        <v>115.44</v>
      </c>
    </row>
    <row r="18" spans="1:15">
      <c r="A18" s="2076">
        <v>5</v>
      </c>
      <c r="B18" s="347" t="s">
        <v>96</v>
      </c>
      <c r="C18" s="190">
        <v>196645</v>
      </c>
      <c r="D18" s="183">
        <f>ROUND((C18*(1+'Løntabel gældende fra'!$D$7%)),0)</f>
        <v>242482</v>
      </c>
      <c r="E18" s="191">
        <v>200442</v>
      </c>
      <c r="F18" s="192">
        <f>ROUND((E18*(1+'Løntabel gældende fra'!$D$7%)),0)</f>
        <v>247164</v>
      </c>
      <c r="G18" s="190">
        <v>203072</v>
      </c>
      <c r="H18" s="183">
        <f>ROUND((G18*(1+'Løntabel gældende fra'!$D$7%)),0)</f>
        <v>250407</v>
      </c>
      <c r="I18" s="191">
        <v>206869</v>
      </c>
      <c r="J18" s="192">
        <f>ROUND((I18*(1+'Løntabel gældende fra'!$D$7%)),0)</f>
        <v>255089</v>
      </c>
      <c r="K18" s="190">
        <v>209497</v>
      </c>
      <c r="L18" s="183">
        <f>ROUND((K18*(1+'Løntabel gældende fra'!$D$7%)),0)</f>
        <v>258330</v>
      </c>
      <c r="M18" s="387"/>
      <c r="N18" s="365">
        <v>183001.14</v>
      </c>
      <c r="O18" s="197">
        <f>ROUND(N18*(1+'Løntabel gældende fra'!$D$7%),2)</f>
        <v>225657.79</v>
      </c>
    </row>
    <row r="19" spans="1:15">
      <c r="A19" s="2074"/>
      <c r="B19" s="369" t="s">
        <v>97</v>
      </c>
      <c r="C19" s="374">
        <f>C18/12</f>
        <v>16387.083333333332</v>
      </c>
      <c r="D19" s="381">
        <f>ROUND(D18/12,2)</f>
        <v>20206.830000000002</v>
      </c>
      <c r="E19" s="378">
        <f>E18/12</f>
        <v>16703.5</v>
      </c>
      <c r="F19" s="363">
        <f>ROUND(F18/12,2)</f>
        <v>20597</v>
      </c>
      <c r="G19" s="374">
        <f>G18/12</f>
        <v>16922.666666666668</v>
      </c>
      <c r="H19" s="381">
        <f>ROUND(H18/12,2)</f>
        <v>20867.25</v>
      </c>
      <c r="I19" s="378">
        <f>I18/12</f>
        <v>17239.083333333332</v>
      </c>
      <c r="J19" s="363">
        <f>ROUND(J18/12,2)</f>
        <v>21257.42</v>
      </c>
      <c r="K19" s="374">
        <f>K18/12</f>
        <v>17458.083333333332</v>
      </c>
      <c r="L19" s="381">
        <f>ROUND(L18/12,2)</f>
        <v>21527.5</v>
      </c>
      <c r="M19" s="386"/>
      <c r="N19" s="364"/>
      <c r="O19" s="366">
        <f>ROUND(O18/12,2)</f>
        <v>18804.82</v>
      </c>
    </row>
    <row r="20" spans="1:15" ht="15" thickBot="1">
      <c r="A20" s="2075"/>
      <c r="B20" s="349" t="s">
        <v>205</v>
      </c>
      <c r="C20" s="375"/>
      <c r="D20" s="188">
        <f>ROUND(D19/160.33,2)</f>
        <v>126.03</v>
      </c>
      <c r="E20" s="379"/>
      <c r="F20" s="188">
        <f t="shared" ref="F20:O20" si="5">ROUND(F19/160.33,2)</f>
        <v>128.47</v>
      </c>
      <c r="G20" s="188">
        <f t="shared" si="5"/>
        <v>105.55</v>
      </c>
      <c r="H20" s="188">
        <f t="shared" si="5"/>
        <v>130.15</v>
      </c>
      <c r="I20" s="188">
        <f t="shared" si="5"/>
        <v>107.52</v>
      </c>
      <c r="J20" s="188">
        <f t="shared" si="5"/>
        <v>132.59</v>
      </c>
      <c r="K20" s="188">
        <f t="shared" si="5"/>
        <v>108.89</v>
      </c>
      <c r="L20" s="188">
        <f t="shared" si="5"/>
        <v>134.27000000000001</v>
      </c>
      <c r="M20" s="188">
        <f t="shared" si="5"/>
        <v>0</v>
      </c>
      <c r="N20" s="188">
        <f t="shared" si="5"/>
        <v>0</v>
      </c>
      <c r="O20" s="188">
        <f t="shared" si="5"/>
        <v>117.29</v>
      </c>
    </row>
    <row r="21" spans="1:15">
      <c r="A21" s="2073">
        <v>6</v>
      </c>
      <c r="B21" s="181" t="s">
        <v>96</v>
      </c>
      <c r="C21" s="182">
        <v>199810</v>
      </c>
      <c r="D21" s="186">
        <f>ROUND((C21*(1+'Løntabel gældende fra'!$D$7%)),0)</f>
        <v>246385</v>
      </c>
      <c r="E21" s="184">
        <v>203700</v>
      </c>
      <c r="F21" s="185">
        <f>ROUND((E21*(1+'Løntabel gældende fra'!$D$7%)),0)</f>
        <v>251181</v>
      </c>
      <c r="G21" s="182">
        <v>206395</v>
      </c>
      <c r="H21" s="186">
        <f>ROUND((G21*(1+'Løntabel gældende fra'!$D$7%)),0)</f>
        <v>254505</v>
      </c>
      <c r="I21" s="184">
        <v>210285</v>
      </c>
      <c r="J21" s="185">
        <f>ROUND((I21*(1+'Løntabel gældende fra'!$D$7%)),0)</f>
        <v>259301</v>
      </c>
      <c r="K21" s="182">
        <v>212978</v>
      </c>
      <c r="L21" s="186">
        <f>ROUND((K21*(1+'Løntabel gældende fra'!$D$7%)),0)</f>
        <v>262622</v>
      </c>
      <c r="M21" s="388"/>
      <c r="N21" s="367">
        <v>185966.06</v>
      </c>
      <c r="O21" s="368">
        <f>ROUND(N21*(1+'Løntabel gældende fra'!$D$7%),2)</f>
        <v>229313.82</v>
      </c>
    </row>
    <row r="22" spans="1:15">
      <c r="A22" s="2074"/>
      <c r="B22" s="369" t="s">
        <v>97</v>
      </c>
      <c r="C22" s="374">
        <f>C21/12</f>
        <v>16650.833333333332</v>
      </c>
      <c r="D22" s="381">
        <f>ROUND(D21/12,2)</f>
        <v>20532.080000000002</v>
      </c>
      <c r="E22" s="378">
        <f>E21/12</f>
        <v>16975</v>
      </c>
      <c r="F22" s="363">
        <f>ROUND(F21/12,2)</f>
        <v>20931.75</v>
      </c>
      <c r="G22" s="374">
        <f>G21/12</f>
        <v>17199.583333333332</v>
      </c>
      <c r="H22" s="381">
        <f>ROUND(H21/12,2)</f>
        <v>21208.75</v>
      </c>
      <c r="I22" s="378">
        <f>I21/12</f>
        <v>17523.75</v>
      </c>
      <c r="J22" s="363">
        <f>ROUND(J21/12,2)</f>
        <v>21608.42</v>
      </c>
      <c r="K22" s="374">
        <f>K21/12</f>
        <v>17748.166666666668</v>
      </c>
      <c r="L22" s="381">
        <f>ROUND(L21/12,2)</f>
        <v>21885.17</v>
      </c>
      <c r="M22" s="386"/>
      <c r="N22" s="364"/>
      <c r="O22" s="366">
        <f>ROUND(O21/12,2)</f>
        <v>19109.490000000002</v>
      </c>
    </row>
    <row r="23" spans="1:15" ht="15" thickBot="1">
      <c r="A23" s="2077"/>
      <c r="B23" s="370" t="s">
        <v>205</v>
      </c>
      <c r="C23" s="376"/>
      <c r="D23" s="382">
        <f>ROUND(D22/160.33,2)</f>
        <v>128.06</v>
      </c>
      <c r="E23" s="380"/>
      <c r="F23" s="382">
        <f t="shared" ref="F23:O23" si="6">ROUND(F22/160.33,2)</f>
        <v>130.55000000000001</v>
      </c>
      <c r="G23" s="382">
        <f t="shared" si="6"/>
        <v>107.28</v>
      </c>
      <c r="H23" s="382">
        <f t="shared" si="6"/>
        <v>132.28</v>
      </c>
      <c r="I23" s="382">
        <f t="shared" si="6"/>
        <v>109.3</v>
      </c>
      <c r="J23" s="382">
        <f t="shared" si="6"/>
        <v>134.77000000000001</v>
      </c>
      <c r="K23" s="382">
        <f t="shared" si="6"/>
        <v>110.7</v>
      </c>
      <c r="L23" s="382">
        <f t="shared" si="6"/>
        <v>136.5</v>
      </c>
      <c r="M23" s="382">
        <f t="shared" si="6"/>
        <v>0</v>
      </c>
      <c r="N23" s="382">
        <f t="shared" si="6"/>
        <v>0</v>
      </c>
      <c r="O23" s="382">
        <f t="shared" si="6"/>
        <v>119.19</v>
      </c>
    </row>
    <row r="24" spans="1:15">
      <c r="A24" s="2076">
        <v>7</v>
      </c>
      <c r="B24" s="347" t="s">
        <v>96</v>
      </c>
      <c r="C24" s="190">
        <v>203058</v>
      </c>
      <c r="D24" s="183">
        <f>ROUND((C24*(1+'Løntabel gældende fra'!$D$7%)),0)</f>
        <v>250390</v>
      </c>
      <c r="E24" s="191">
        <v>207045</v>
      </c>
      <c r="F24" s="192">
        <f>ROUND((E24*(1+'Løntabel gældende fra'!$D$7%)),0)</f>
        <v>255306</v>
      </c>
      <c r="G24" s="190">
        <v>209805</v>
      </c>
      <c r="H24" s="183">
        <f>ROUND((G24*(1+'Løntabel gældende fra'!$D$7%)),0)</f>
        <v>258709</v>
      </c>
      <c r="I24" s="191">
        <v>213792</v>
      </c>
      <c r="J24" s="192">
        <f>ROUND((I24*(1+'Løntabel gældende fra'!$D$7%)),0)</f>
        <v>263626</v>
      </c>
      <c r="K24" s="190">
        <v>216551</v>
      </c>
      <c r="L24" s="183">
        <f>ROUND((K24*(1+'Løntabel gældende fra'!$D$7%)),0)</f>
        <v>267028</v>
      </c>
      <c r="M24" s="387"/>
      <c r="N24" s="365">
        <v>189010.4</v>
      </c>
      <c r="O24" s="197">
        <f>ROUND(N24*(1+'Løntabel gældende fra'!$D$7%),2)</f>
        <v>233067.78</v>
      </c>
    </row>
    <row r="25" spans="1:15">
      <c r="A25" s="2074"/>
      <c r="B25" s="369" t="s">
        <v>97</v>
      </c>
      <c r="C25" s="374"/>
      <c r="D25" s="381">
        <f>ROUND(D24/12,2)</f>
        <v>20865.830000000002</v>
      </c>
      <c r="E25" s="378">
        <f>E24/12</f>
        <v>17253.75</v>
      </c>
      <c r="F25" s="363">
        <f>ROUND(F24/12,2)</f>
        <v>21275.5</v>
      </c>
      <c r="G25" s="374">
        <f>G24/12</f>
        <v>17483.75</v>
      </c>
      <c r="H25" s="381">
        <f>ROUND(H24/12,2)</f>
        <v>21559.08</v>
      </c>
      <c r="I25" s="378">
        <f>I24/12</f>
        <v>17816</v>
      </c>
      <c r="J25" s="363">
        <f>ROUND(J24/12,2)</f>
        <v>21968.83</v>
      </c>
      <c r="K25" s="374">
        <f>K24/12</f>
        <v>18045.916666666668</v>
      </c>
      <c r="L25" s="381">
        <f>ROUND(L24/12,2)</f>
        <v>22252.33</v>
      </c>
      <c r="M25" s="386"/>
      <c r="N25" s="364"/>
      <c r="O25" s="366">
        <f>ROUND(O24/12,2)</f>
        <v>19422.32</v>
      </c>
    </row>
    <row r="26" spans="1:15" ht="15" thickBot="1">
      <c r="A26" s="2075"/>
      <c r="B26" s="349" t="s">
        <v>205</v>
      </c>
      <c r="C26" s="187">
        <f>C24/12</f>
        <v>16921.5</v>
      </c>
      <c r="D26" s="188">
        <f>ROUND(D25/160.33,2)</f>
        <v>130.13999999999999</v>
      </c>
      <c r="E26" s="379"/>
      <c r="F26" s="188">
        <f t="shared" ref="F26:O26" si="7">ROUND(F25/160.33,2)</f>
        <v>132.69999999999999</v>
      </c>
      <c r="G26" s="188">
        <f t="shared" si="7"/>
        <v>109.05</v>
      </c>
      <c r="H26" s="188">
        <f t="shared" si="7"/>
        <v>134.47</v>
      </c>
      <c r="I26" s="188">
        <f t="shared" si="7"/>
        <v>111.12</v>
      </c>
      <c r="J26" s="188">
        <f t="shared" si="7"/>
        <v>137.02000000000001</v>
      </c>
      <c r="K26" s="188">
        <f t="shared" si="7"/>
        <v>112.55</v>
      </c>
      <c r="L26" s="188">
        <f t="shared" si="7"/>
        <v>138.79</v>
      </c>
      <c r="M26" s="188">
        <f t="shared" si="7"/>
        <v>0</v>
      </c>
      <c r="N26" s="188">
        <f t="shared" si="7"/>
        <v>0</v>
      </c>
      <c r="O26" s="188">
        <f t="shared" si="7"/>
        <v>121.14</v>
      </c>
    </row>
    <row r="27" spans="1:15">
      <c r="A27" s="2073">
        <v>8</v>
      </c>
      <c r="B27" s="181" t="s">
        <v>96</v>
      </c>
      <c r="C27" s="182">
        <v>206396</v>
      </c>
      <c r="D27" s="186">
        <f>ROUND((C27*(1+'Løntabel gældende fra'!$D$7%)),0)</f>
        <v>254506</v>
      </c>
      <c r="E27" s="184">
        <v>210482</v>
      </c>
      <c r="F27" s="185">
        <f>ROUND((E27*(1+'Løntabel gældende fra'!$D$7%)),0)</f>
        <v>259544</v>
      </c>
      <c r="G27" s="182">
        <v>213311</v>
      </c>
      <c r="H27" s="186">
        <f>ROUND((G27*(1+'Løntabel gældende fra'!$D$7%)),0)</f>
        <v>263033</v>
      </c>
      <c r="I27" s="184">
        <v>217397</v>
      </c>
      <c r="J27" s="185">
        <f>ROUND((I27*(1+'Løntabel gældende fra'!$D$7%)),0)</f>
        <v>268071</v>
      </c>
      <c r="K27" s="182">
        <v>220226</v>
      </c>
      <c r="L27" s="186">
        <f>ROUND((K27*(1+'Løntabel gældende fra'!$D$7%)),0)</f>
        <v>271560</v>
      </c>
      <c r="M27" s="388"/>
      <c r="N27" s="367">
        <v>192139.54</v>
      </c>
      <c r="O27" s="368">
        <f>ROUND(N27*(1+'Løntabel gældende fra'!$D$7%),2)</f>
        <v>236926.31</v>
      </c>
    </row>
    <row r="28" spans="1:15">
      <c r="A28" s="2074"/>
      <c r="B28" s="369" t="s">
        <v>97</v>
      </c>
      <c r="C28" s="374"/>
      <c r="D28" s="381">
        <f>ROUND(D27/12,2)</f>
        <v>21208.83</v>
      </c>
      <c r="E28" s="378">
        <f>E27/12</f>
        <v>17540.166666666668</v>
      </c>
      <c r="F28" s="363">
        <f>ROUND(F27/12,2)</f>
        <v>21628.67</v>
      </c>
      <c r="G28" s="374">
        <f>G27/12</f>
        <v>17775.916666666668</v>
      </c>
      <c r="H28" s="381">
        <f>ROUND(H27/12,2)</f>
        <v>21919.42</v>
      </c>
      <c r="I28" s="378">
        <f>I27/12</f>
        <v>18116.416666666668</v>
      </c>
      <c r="J28" s="363">
        <f>ROUND(J27/12,2)</f>
        <v>22339.25</v>
      </c>
      <c r="K28" s="374">
        <f>K27/12</f>
        <v>18352.166666666668</v>
      </c>
      <c r="L28" s="381">
        <f>ROUND(L27/12,2)</f>
        <v>22630</v>
      </c>
      <c r="M28" s="386"/>
      <c r="N28" s="364"/>
      <c r="O28" s="366">
        <f>ROUND(O27/12,2)</f>
        <v>19743.86</v>
      </c>
    </row>
    <row r="29" spans="1:15" ht="15" thickBot="1">
      <c r="A29" s="2077"/>
      <c r="B29" s="370" t="s">
        <v>205</v>
      </c>
      <c r="C29" s="377">
        <f>C27/12</f>
        <v>17199.666666666668</v>
      </c>
      <c r="D29" s="382">
        <f>ROUND(D28/160.33,2)</f>
        <v>132.28</v>
      </c>
      <c r="E29" s="380"/>
      <c r="F29" s="382">
        <f t="shared" ref="F29:O29" si="8">ROUND(F28/160.33,2)</f>
        <v>134.9</v>
      </c>
      <c r="G29" s="382">
        <f t="shared" si="8"/>
        <v>110.87</v>
      </c>
      <c r="H29" s="382">
        <f t="shared" si="8"/>
        <v>136.71</v>
      </c>
      <c r="I29" s="382">
        <f t="shared" si="8"/>
        <v>112.99</v>
      </c>
      <c r="J29" s="382">
        <f t="shared" si="8"/>
        <v>139.33000000000001</v>
      </c>
      <c r="K29" s="382">
        <f t="shared" si="8"/>
        <v>114.46</v>
      </c>
      <c r="L29" s="382">
        <f t="shared" si="8"/>
        <v>141.15</v>
      </c>
      <c r="M29" s="382">
        <f t="shared" si="8"/>
        <v>0</v>
      </c>
      <c r="N29" s="382">
        <f t="shared" si="8"/>
        <v>0</v>
      </c>
      <c r="O29" s="382">
        <f t="shared" si="8"/>
        <v>123.15</v>
      </c>
    </row>
    <row r="30" spans="1:15">
      <c r="A30" s="2076">
        <v>9</v>
      </c>
      <c r="B30" s="347" t="s">
        <v>96</v>
      </c>
      <c r="C30" s="190">
        <v>209829</v>
      </c>
      <c r="D30" s="183">
        <f>ROUND((C30*(1+'Løntabel gældende fra'!$D$7%)),0)</f>
        <v>258739</v>
      </c>
      <c r="E30" s="191">
        <v>214015</v>
      </c>
      <c r="F30" s="192">
        <f>ROUND((E30*(1+'Løntabel gældende fra'!$D$7%)),0)</f>
        <v>263901</v>
      </c>
      <c r="G30" s="190">
        <v>216916</v>
      </c>
      <c r="H30" s="183">
        <f>ROUND((G30*(1+'Løntabel gældende fra'!$D$7%)),0)</f>
        <v>267478</v>
      </c>
      <c r="I30" s="191">
        <v>221102</v>
      </c>
      <c r="J30" s="192">
        <f>ROUND((I30*(1+'Løntabel gældende fra'!$D$7%)),0)</f>
        <v>272640</v>
      </c>
      <c r="K30" s="190">
        <v>224002</v>
      </c>
      <c r="L30" s="183">
        <f>ROUND((K30*(1+'Løntabel gældende fra'!$D$7%)),0)</f>
        <v>276216</v>
      </c>
      <c r="M30" s="387"/>
      <c r="N30" s="365">
        <v>195355.31</v>
      </c>
      <c r="O30" s="197">
        <f>ROUND(N30*(1+'Løntabel gældende fra'!$D$7%),2)</f>
        <v>240891.66</v>
      </c>
    </row>
    <row r="31" spans="1:15">
      <c r="A31" s="2074"/>
      <c r="B31" s="369" t="s">
        <v>210</v>
      </c>
      <c r="C31" s="374"/>
      <c r="D31" s="381">
        <f>ROUND(D30/12,2)</f>
        <v>21561.58</v>
      </c>
      <c r="E31" s="378">
        <f>E30/12</f>
        <v>17834.583333333332</v>
      </c>
      <c r="F31" s="363">
        <f>ROUND(F30/12,2)</f>
        <v>21991.75</v>
      </c>
      <c r="G31" s="374">
        <f>G30/12</f>
        <v>18076.333333333332</v>
      </c>
      <c r="H31" s="381">
        <f>ROUND(H30/12,2)</f>
        <v>22289.83</v>
      </c>
      <c r="I31" s="378">
        <f>I30/12</f>
        <v>18425.166666666668</v>
      </c>
      <c r="J31" s="363">
        <f>ROUND(J30/12,2)</f>
        <v>22720</v>
      </c>
      <c r="K31" s="374">
        <f>K30/12</f>
        <v>18666.833333333332</v>
      </c>
      <c r="L31" s="381">
        <f>ROUND(L30/12,2)</f>
        <v>23018</v>
      </c>
      <c r="M31" s="386"/>
      <c r="N31" s="364"/>
      <c r="O31" s="366">
        <f>ROUND(O30/12,2)</f>
        <v>20074.310000000001</v>
      </c>
    </row>
    <row r="32" spans="1:15" ht="15" thickBot="1">
      <c r="A32" s="2075"/>
      <c r="B32" s="349" t="s">
        <v>205</v>
      </c>
      <c r="C32" s="187">
        <f>C30/12</f>
        <v>17485.75</v>
      </c>
      <c r="D32" s="188">
        <f>ROUND(D31/160.33,2)</f>
        <v>134.47999999999999</v>
      </c>
      <c r="E32" s="379"/>
      <c r="F32" s="188">
        <f t="shared" ref="F32:O32" si="9">ROUND(F31/160.33,2)</f>
        <v>137.16999999999999</v>
      </c>
      <c r="G32" s="188">
        <f t="shared" si="9"/>
        <v>112.74</v>
      </c>
      <c r="H32" s="188">
        <f t="shared" si="9"/>
        <v>139.02000000000001</v>
      </c>
      <c r="I32" s="188">
        <f t="shared" si="9"/>
        <v>114.92</v>
      </c>
      <c r="J32" s="188">
        <f t="shared" si="9"/>
        <v>141.71</v>
      </c>
      <c r="K32" s="188">
        <f t="shared" si="9"/>
        <v>116.43</v>
      </c>
      <c r="L32" s="188">
        <f t="shared" si="9"/>
        <v>143.57</v>
      </c>
      <c r="M32" s="188">
        <f t="shared" si="9"/>
        <v>0</v>
      </c>
      <c r="N32" s="188">
        <f t="shared" si="9"/>
        <v>0</v>
      </c>
      <c r="O32" s="188">
        <f t="shared" si="9"/>
        <v>125.21</v>
      </c>
    </row>
    <row r="33" spans="1:15">
      <c r="A33" s="2073">
        <v>10</v>
      </c>
      <c r="B33" s="181" t="s">
        <v>96</v>
      </c>
      <c r="C33" s="182">
        <v>213353</v>
      </c>
      <c r="D33" s="186">
        <f>ROUND((C33*(1+'Løntabel gældende fra'!$D$7%)),0)</f>
        <v>263085</v>
      </c>
      <c r="E33" s="184">
        <v>217646</v>
      </c>
      <c r="F33" s="185">
        <f>ROUND((E33*(1+'Løntabel gældende fra'!$D$7%)),0)</f>
        <v>268378</v>
      </c>
      <c r="G33" s="182">
        <v>220617</v>
      </c>
      <c r="H33" s="186">
        <f>ROUND((G33*(1+'Løntabel gældende fra'!$D$7%)),0)</f>
        <v>272042</v>
      </c>
      <c r="I33" s="184">
        <v>224909</v>
      </c>
      <c r="J33" s="185">
        <f>ROUND((I33*(1+'Løntabel gældende fra'!$D$7%)),0)</f>
        <v>277334</v>
      </c>
      <c r="K33" s="182">
        <v>227882</v>
      </c>
      <c r="L33" s="186">
        <f>ROUND((K33*(1+'Løntabel gældende fra'!$D$7%)),0)</f>
        <v>281000</v>
      </c>
      <c r="M33" s="388"/>
      <c r="N33" s="367">
        <v>198659.5</v>
      </c>
      <c r="O33" s="368">
        <f>ROUND(N33*(1+'Løntabel gældende fra'!$D$7%),2)</f>
        <v>244966.04</v>
      </c>
    </row>
    <row r="34" spans="1:15">
      <c r="A34" s="2074"/>
      <c r="B34" s="369" t="s">
        <v>97</v>
      </c>
      <c r="C34" s="374"/>
      <c r="D34" s="381">
        <f>ROUND(D33/12,2)</f>
        <v>21923.75</v>
      </c>
      <c r="E34" s="378">
        <f>E33/12</f>
        <v>18137.166666666668</v>
      </c>
      <c r="F34" s="363">
        <f>ROUND(F33/12,2)</f>
        <v>22364.83</v>
      </c>
      <c r="G34" s="374">
        <f>G33/12</f>
        <v>18384.75</v>
      </c>
      <c r="H34" s="381">
        <f>ROUND(H33/12,2)</f>
        <v>22670.17</v>
      </c>
      <c r="I34" s="378">
        <f>I33/12</f>
        <v>18742.416666666668</v>
      </c>
      <c r="J34" s="363">
        <f>ROUND(J33/12,2)</f>
        <v>23111.17</v>
      </c>
      <c r="K34" s="374">
        <f>K33/12</f>
        <v>18990.166666666668</v>
      </c>
      <c r="L34" s="381">
        <f>ROUND(L33/12,2)</f>
        <v>23416.67</v>
      </c>
      <c r="M34" s="386"/>
      <c r="N34" s="364"/>
      <c r="O34" s="366">
        <f>ROUND(O33/12,2)</f>
        <v>20413.84</v>
      </c>
    </row>
    <row r="35" spans="1:15" ht="15" thickBot="1">
      <c r="A35" s="2077"/>
      <c r="B35" s="370" t="s">
        <v>205</v>
      </c>
      <c r="C35" s="377">
        <f>C33/12</f>
        <v>17779.416666666668</v>
      </c>
      <c r="D35" s="382">
        <f>ROUND(D34/160.33,2)</f>
        <v>136.74</v>
      </c>
      <c r="E35" s="380"/>
      <c r="F35" s="382">
        <f t="shared" ref="F35:O35" si="10">ROUND(F34/160.33,2)</f>
        <v>139.49</v>
      </c>
      <c r="G35" s="382">
        <f t="shared" si="10"/>
        <v>114.67</v>
      </c>
      <c r="H35" s="382">
        <f t="shared" si="10"/>
        <v>141.4</v>
      </c>
      <c r="I35" s="382">
        <f t="shared" si="10"/>
        <v>116.9</v>
      </c>
      <c r="J35" s="382">
        <f t="shared" si="10"/>
        <v>144.15</v>
      </c>
      <c r="K35" s="382">
        <f t="shared" si="10"/>
        <v>118.44</v>
      </c>
      <c r="L35" s="382">
        <f t="shared" si="10"/>
        <v>146.05000000000001</v>
      </c>
      <c r="M35" s="382">
        <f t="shared" si="10"/>
        <v>0</v>
      </c>
      <c r="N35" s="382">
        <f t="shared" si="10"/>
        <v>0</v>
      </c>
      <c r="O35" s="382">
        <f t="shared" si="10"/>
        <v>127.32</v>
      </c>
    </row>
    <row r="36" spans="1:15">
      <c r="A36" s="2076">
        <v>11</v>
      </c>
      <c r="B36" s="347" t="s">
        <v>96</v>
      </c>
      <c r="C36" s="190">
        <v>216134</v>
      </c>
      <c r="D36" s="183">
        <f>ROUND((C36*(1+'Løntabel gældende fra'!$D$7%)),0)</f>
        <v>266514</v>
      </c>
      <c r="E36" s="191">
        <v>220533</v>
      </c>
      <c r="F36" s="192">
        <f>ROUND((E36*(1+'Løntabel gældende fra'!$D$7%)),0)</f>
        <v>271938</v>
      </c>
      <c r="G36" s="190">
        <v>223579</v>
      </c>
      <c r="H36" s="183">
        <f>ROUND((G36*(1+'Løntabel gældende fra'!$D$7%)),0)</f>
        <v>275694</v>
      </c>
      <c r="I36" s="191">
        <v>227978</v>
      </c>
      <c r="J36" s="192">
        <f>ROUND((I36*(1+'Løntabel gældende fra'!$D$7%)),0)</f>
        <v>281119</v>
      </c>
      <c r="K36" s="190">
        <v>231023</v>
      </c>
      <c r="L36" s="183">
        <f>ROUND((K36*(1+'Løntabel gældende fra'!$D$7%)),0)</f>
        <v>284873</v>
      </c>
      <c r="M36" s="387"/>
      <c r="N36" s="365">
        <v>202053.93</v>
      </c>
      <c r="O36" s="197">
        <f>ROUND(N36*(1+'Løntabel gældende fra'!$D$7%),2)</f>
        <v>249151.69</v>
      </c>
    </row>
    <row r="37" spans="1:15">
      <c r="A37" s="2074"/>
      <c r="B37" s="369" t="s">
        <v>210</v>
      </c>
      <c r="C37" s="374"/>
      <c r="D37" s="381">
        <f>ROUND(D36/12,2)</f>
        <v>22209.5</v>
      </c>
      <c r="E37" s="378">
        <f>E36/12</f>
        <v>18377.75</v>
      </c>
      <c r="F37" s="363">
        <f>ROUND(F36/12,2)</f>
        <v>22661.5</v>
      </c>
      <c r="G37" s="374">
        <f>G36/12</f>
        <v>18631.583333333332</v>
      </c>
      <c r="H37" s="381">
        <f>ROUND(H36/12,2)</f>
        <v>22974.5</v>
      </c>
      <c r="I37" s="378">
        <f>I36/12</f>
        <v>18998.166666666668</v>
      </c>
      <c r="J37" s="363">
        <f>ROUND(J36/12,2)</f>
        <v>23426.58</v>
      </c>
      <c r="K37" s="374">
        <f>K36/12</f>
        <v>19251.916666666668</v>
      </c>
      <c r="L37" s="381">
        <f>ROUND(L36/12,2)</f>
        <v>23739.42</v>
      </c>
      <c r="M37" s="386"/>
      <c r="N37" s="364"/>
      <c r="O37" s="366">
        <f>ROUND(O36/12,2)</f>
        <v>20762.64</v>
      </c>
    </row>
    <row r="38" spans="1:15" ht="15" thickBot="1">
      <c r="A38" s="2075"/>
      <c r="B38" s="349" t="s">
        <v>205</v>
      </c>
      <c r="C38" s="187">
        <f>C36/12</f>
        <v>18011.166666666668</v>
      </c>
      <c r="D38" s="188">
        <f>ROUND(D37/160.33,2)</f>
        <v>138.52000000000001</v>
      </c>
      <c r="E38" s="379"/>
      <c r="F38" s="188">
        <f t="shared" ref="F38:O38" si="11">ROUND(F37/160.33,2)</f>
        <v>141.34</v>
      </c>
      <c r="G38" s="188">
        <f t="shared" si="11"/>
        <v>116.21</v>
      </c>
      <c r="H38" s="188">
        <f t="shared" si="11"/>
        <v>143.30000000000001</v>
      </c>
      <c r="I38" s="188">
        <f t="shared" si="11"/>
        <v>118.49</v>
      </c>
      <c r="J38" s="188">
        <f t="shared" si="11"/>
        <v>146.11000000000001</v>
      </c>
      <c r="K38" s="188">
        <f t="shared" si="11"/>
        <v>120.08</v>
      </c>
      <c r="L38" s="188">
        <f t="shared" si="11"/>
        <v>148.07</v>
      </c>
      <c r="M38" s="188">
        <f t="shared" si="11"/>
        <v>0</v>
      </c>
      <c r="N38" s="188">
        <f t="shared" si="11"/>
        <v>0</v>
      </c>
      <c r="O38" s="188">
        <f t="shared" si="11"/>
        <v>129.5</v>
      </c>
    </row>
    <row r="39" spans="1:15">
      <c r="A39" s="2073">
        <v>12</v>
      </c>
      <c r="B39" s="181" t="s">
        <v>96</v>
      </c>
      <c r="C39" s="182">
        <v>219855</v>
      </c>
      <c r="D39" s="186">
        <f>ROUND((C39*(1+'Løntabel gældende fra'!$D$7%)),0)</f>
        <v>271102</v>
      </c>
      <c r="E39" s="184">
        <v>224365</v>
      </c>
      <c r="F39" s="185">
        <f>ROUND((E39*(1+'Løntabel gældende fra'!$D$7%)),0)</f>
        <v>276663</v>
      </c>
      <c r="G39" s="182">
        <v>227489</v>
      </c>
      <c r="H39" s="186">
        <f>ROUND((G39*(1+'Løntabel gældende fra'!$D$7%)),0)</f>
        <v>280516</v>
      </c>
      <c r="I39" s="184">
        <v>231997</v>
      </c>
      <c r="J39" s="185">
        <f>ROUND((I39*(1+'Løntabel gældende fra'!$D$7%)),0)</f>
        <v>286074</v>
      </c>
      <c r="K39" s="182">
        <v>235119</v>
      </c>
      <c r="L39" s="186">
        <f>ROUND((K39*(1+'Løntabel gældende fra'!$D$7%)),0)</f>
        <v>289924</v>
      </c>
      <c r="M39" s="388"/>
      <c r="N39" s="367">
        <v>205542.18</v>
      </c>
      <c r="O39" s="368">
        <f>ROUND(N39*(1+'Løntabel gældende fra'!$D$7%),2)</f>
        <v>253453.03</v>
      </c>
    </row>
    <row r="40" spans="1:15">
      <c r="A40" s="2074"/>
      <c r="B40" s="369" t="s">
        <v>97</v>
      </c>
      <c r="C40" s="374"/>
      <c r="D40" s="381">
        <f>ROUND(D39/12,2)</f>
        <v>22591.83</v>
      </c>
      <c r="E40" s="378">
        <f>E39/12</f>
        <v>18697.083333333332</v>
      </c>
      <c r="F40" s="363">
        <f>ROUND(F39/12,2)</f>
        <v>23055.25</v>
      </c>
      <c r="G40" s="374">
        <f>G39/12</f>
        <v>18957.416666666668</v>
      </c>
      <c r="H40" s="381">
        <f>ROUND(H39/12,2)</f>
        <v>23376.33</v>
      </c>
      <c r="I40" s="378">
        <f>I39/12</f>
        <v>19333.083333333332</v>
      </c>
      <c r="J40" s="363">
        <f>ROUND(J39/12,2)</f>
        <v>23839.5</v>
      </c>
      <c r="K40" s="374">
        <f>K39/12</f>
        <v>19593.25</v>
      </c>
      <c r="L40" s="381">
        <f>ROUND(L39/12,2)</f>
        <v>24160.33</v>
      </c>
      <c r="M40" s="386"/>
      <c r="N40" s="364"/>
      <c r="O40" s="366">
        <f>ROUND(O39/12,2)</f>
        <v>21121.09</v>
      </c>
    </row>
    <row r="41" spans="1:15" ht="15" thickBot="1">
      <c r="A41" s="2077"/>
      <c r="B41" s="370" t="s">
        <v>205</v>
      </c>
      <c r="C41" s="377">
        <f>C39/12</f>
        <v>18321.25</v>
      </c>
      <c r="D41" s="382">
        <f>ROUND(D40/160.33,2)</f>
        <v>140.91</v>
      </c>
      <c r="E41" s="382">
        <f t="shared" ref="E41:O41" si="12">ROUND(E40/160.33,2)</f>
        <v>116.62</v>
      </c>
      <c r="F41" s="382">
        <f t="shared" si="12"/>
        <v>143.80000000000001</v>
      </c>
      <c r="G41" s="382">
        <f t="shared" si="12"/>
        <v>118.24</v>
      </c>
      <c r="H41" s="382">
        <f t="shared" si="12"/>
        <v>145.80000000000001</v>
      </c>
      <c r="I41" s="382">
        <f t="shared" si="12"/>
        <v>120.58</v>
      </c>
      <c r="J41" s="382">
        <f t="shared" si="12"/>
        <v>148.69</v>
      </c>
      <c r="K41" s="382">
        <f t="shared" si="12"/>
        <v>122.21</v>
      </c>
      <c r="L41" s="382">
        <f t="shared" si="12"/>
        <v>150.69</v>
      </c>
      <c r="M41" s="382">
        <f t="shared" si="12"/>
        <v>0</v>
      </c>
      <c r="N41" s="382">
        <f t="shared" si="12"/>
        <v>0</v>
      </c>
      <c r="O41" s="382">
        <f t="shared" si="12"/>
        <v>131.74</v>
      </c>
    </row>
    <row r="42" spans="1:15">
      <c r="A42" s="2076">
        <v>13</v>
      </c>
      <c r="B42" s="347" t="s">
        <v>96</v>
      </c>
      <c r="C42" s="190">
        <v>223681</v>
      </c>
      <c r="D42" s="183">
        <f>ROUND((C42*(1+'Løntabel gældende fra'!$D$7%)),0)</f>
        <v>275820</v>
      </c>
      <c r="E42" s="191">
        <v>228304</v>
      </c>
      <c r="F42" s="192">
        <f>ROUND((E42*(1+'Løntabel gældende fra'!$D$7%)),0)</f>
        <v>281521</v>
      </c>
      <c r="G42" s="190">
        <v>231504</v>
      </c>
      <c r="H42" s="183">
        <f>ROUND((G42*(1+'Løntabel gældende fra'!$D$7%)),0)</f>
        <v>285466</v>
      </c>
      <c r="I42" s="191">
        <v>236129</v>
      </c>
      <c r="J42" s="192">
        <f>ROUND((I42*(1+'Løntabel gældende fra'!$D$7%)),0)</f>
        <v>291169</v>
      </c>
      <c r="K42" s="190">
        <v>239328</v>
      </c>
      <c r="L42" s="183">
        <f>ROUND((K42*(1+'Løntabel gældende fra'!$D$7%)),0)</f>
        <v>295114</v>
      </c>
      <c r="M42" s="387"/>
      <c r="N42" s="365">
        <v>209126.09</v>
      </c>
      <c r="O42" s="197">
        <f>ROUND(N42*(1+'Løntabel gældende fra'!$D$7%),2)</f>
        <v>257872.34</v>
      </c>
    </row>
    <row r="43" spans="1:15">
      <c r="A43" s="2074"/>
      <c r="B43" s="369" t="s">
        <v>210</v>
      </c>
      <c r="C43" s="374"/>
      <c r="D43" s="381">
        <f>ROUND(D42/12,2)</f>
        <v>22985</v>
      </c>
      <c r="E43" s="378">
        <f>E42/12</f>
        <v>19025.333333333332</v>
      </c>
      <c r="F43" s="363">
        <f>ROUND(F42/12,2)</f>
        <v>23460.080000000002</v>
      </c>
      <c r="G43" s="374">
        <f>G42/12</f>
        <v>19292</v>
      </c>
      <c r="H43" s="381">
        <f>ROUND(H42/12,2)</f>
        <v>23788.83</v>
      </c>
      <c r="I43" s="378">
        <f>I42/12</f>
        <v>19677.416666666668</v>
      </c>
      <c r="J43" s="363">
        <f>ROUND(J42/12,2)</f>
        <v>24264.080000000002</v>
      </c>
      <c r="K43" s="374">
        <f>K42/12</f>
        <v>19944</v>
      </c>
      <c r="L43" s="381">
        <f>ROUND(L42/12,2)</f>
        <v>24592.83</v>
      </c>
      <c r="M43" s="386"/>
      <c r="N43" s="364"/>
      <c r="O43" s="366">
        <f>ROUND(O42/12,2)</f>
        <v>21489.360000000001</v>
      </c>
    </row>
    <row r="44" spans="1:15" ht="15" thickBot="1">
      <c r="A44" s="2075"/>
      <c r="B44" s="349" t="s">
        <v>205</v>
      </c>
      <c r="C44" s="187">
        <f>C42/12</f>
        <v>18640.083333333332</v>
      </c>
      <c r="D44" s="188">
        <f>ROUND(D43/160.33,2)</f>
        <v>143.36000000000001</v>
      </c>
      <c r="E44" s="379"/>
      <c r="F44" s="188">
        <f t="shared" ref="F44:O44" si="13">ROUND(F43/160.33,2)</f>
        <v>146.32</v>
      </c>
      <c r="G44" s="188">
        <f t="shared" si="13"/>
        <v>120.33</v>
      </c>
      <c r="H44" s="188">
        <f t="shared" si="13"/>
        <v>148.37</v>
      </c>
      <c r="I44" s="188">
        <f t="shared" si="13"/>
        <v>122.73</v>
      </c>
      <c r="J44" s="188">
        <f t="shared" si="13"/>
        <v>151.34</v>
      </c>
      <c r="K44" s="188">
        <f t="shared" si="13"/>
        <v>124.39</v>
      </c>
      <c r="L44" s="188">
        <f t="shared" si="13"/>
        <v>153.38999999999999</v>
      </c>
      <c r="M44" s="188">
        <f t="shared" si="13"/>
        <v>0</v>
      </c>
      <c r="N44" s="188">
        <f t="shared" si="13"/>
        <v>0</v>
      </c>
      <c r="O44" s="188">
        <f t="shared" si="13"/>
        <v>134.03</v>
      </c>
    </row>
    <row r="45" spans="1:15">
      <c r="A45" s="2076">
        <v>14</v>
      </c>
      <c r="B45" s="347" t="s">
        <v>96</v>
      </c>
      <c r="C45" s="190">
        <v>227611</v>
      </c>
      <c r="D45" s="183">
        <f>ROUND((C45*(1+'Løntabel gældende fra'!$D$7%)),0)</f>
        <v>280666</v>
      </c>
      <c r="E45" s="191">
        <v>232351</v>
      </c>
      <c r="F45" s="192">
        <f>ROUND((E45*(1+'Løntabel gældende fra'!$D$7%)),0)</f>
        <v>286511</v>
      </c>
      <c r="G45" s="190">
        <v>235632</v>
      </c>
      <c r="H45" s="183">
        <f>ROUND((G45*(1+'Løntabel gældende fra'!$D$7%)),0)</f>
        <v>290557</v>
      </c>
      <c r="I45" s="191">
        <v>240371</v>
      </c>
      <c r="J45" s="192">
        <f>ROUND((I45*(1+'Løntabel gældende fra'!$D$7%)),0)</f>
        <v>296400</v>
      </c>
      <c r="K45" s="190">
        <v>243652</v>
      </c>
      <c r="L45" s="183">
        <f>ROUND((K45*(1+'Løntabel gældende fra'!$D$7%)),0)</f>
        <v>300446</v>
      </c>
      <c r="M45" s="387"/>
      <c r="N45" s="365">
        <v>212809.24</v>
      </c>
      <c r="O45" s="197">
        <f>ROUND(N45*(1+'Løntabel gældende fra'!$D$7%),2)</f>
        <v>262414.01</v>
      </c>
    </row>
    <row r="46" spans="1:15">
      <c r="A46" s="2074"/>
      <c r="B46" s="369" t="s">
        <v>210</v>
      </c>
      <c r="C46" s="374"/>
      <c r="D46" s="381">
        <f>ROUND(D45/12,2)</f>
        <v>23388.83</v>
      </c>
      <c r="E46" s="378">
        <f>E45/12</f>
        <v>19362.583333333332</v>
      </c>
      <c r="F46" s="363">
        <f>ROUND(F45/12,2)</f>
        <v>23875.919999999998</v>
      </c>
      <c r="G46" s="374">
        <f>G45/12</f>
        <v>19636</v>
      </c>
      <c r="H46" s="381">
        <f>ROUND(H45/12,2)</f>
        <v>24213.08</v>
      </c>
      <c r="I46" s="378">
        <f>I45/12</f>
        <v>20030.916666666668</v>
      </c>
      <c r="J46" s="363">
        <f>ROUND(J45/12,2)</f>
        <v>24700</v>
      </c>
      <c r="K46" s="374">
        <f>K45/12</f>
        <v>20304.333333333332</v>
      </c>
      <c r="L46" s="381">
        <f>ROUND(L45/12,2)</f>
        <v>25037.17</v>
      </c>
      <c r="M46" s="386"/>
      <c r="N46" s="364"/>
      <c r="O46" s="366">
        <f>ROUND(O45/12,2)</f>
        <v>21867.83</v>
      </c>
    </row>
    <row r="47" spans="1:15" ht="15" thickBot="1">
      <c r="A47" s="2075"/>
      <c r="B47" s="349" t="s">
        <v>205</v>
      </c>
      <c r="C47" s="187">
        <f>C45/12</f>
        <v>18967.583333333332</v>
      </c>
      <c r="D47" s="188">
        <f>ROUND(D46/160.33,2)</f>
        <v>145.88</v>
      </c>
      <c r="E47" s="379"/>
      <c r="F47" s="188">
        <f t="shared" ref="F47:O47" si="14">ROUND(F46/160.33,2)</f>
        <v>148.91999999999999</v>
      </c>
      <c r="G47" s="188">
        <f t="shared" si="14"/>
        <v>122.47</v>
      </c>
      <c r="H47" s="188">
        <f t="shared" si="14"/>
        <v>151.02000000000001</v>
      </c>
      <c r="I47" s="188">
        <f t="shared" si="14"/>
        <v>124.94</v>
      </c>
      <c r="J47" s="188">
        <f t="shared" si="14"/>
        <v>154.06</v>
      </c>
      <c r="K47" s="188">
        <f t="shared" si="14"/>
        <v>126.64</v>
      </c>
      <c r="L47" s="188">
        <f t="shared" si="14"/>
        <v>156.16</v>
      </c>
      <c r="M47" s="188">
        <f t="shared" si="14"/>
        <v>0</v>
      </c>
      <c r="N47" s="188">
        <f t="shared" si="14"/>
        <v>0</v>
      </c>
      <c r="O47" s="188">
        <f t="shared" si="14"/>
        <v>136.38999999999999</v>
      </c>
    </row>
    <row r="48" spans="1:15">
      <c r="A48" s="2076">
        <v>15</v>
      </c>
      <c r="B48" s="347" t="s">
        <v>96</v>
      </c>
      <c r="C48" s="190">
        <v>231649</v>
      </c>
      <c r="D48" s="183">
        <f>ROUND((C48*(1+'Løntabel gældende fra'!$D$7%)),0)</f>
        <v>285645</v>
      </c>
      <c r="E48" s="191">
        <v>236507</v>
      </c>
      <c r="F48" s="192">
        <f>ROUND((E48*(1+'Løntabel gældende fra'!$D$7%)),0)</f>
        <v>291636</v>
      </c>
      <c r="G48" s="190">
        <v>239870</v>
      </c>
      <c r="H48" s="183">
        <f>ROUND((G48*(1+'Løntabel gældende fra'!$D$7%)),0)</f>
        <v>295782</v>
      </c>
      <c r="I48" s="191">
        <v>244730</v>
      </c>
      <c r="J48" s="192">
        <f>ROUND((I48*(1+'Løntabel gældende fra'!$D$7%)),0)</f>
        <v>301775</v>
      </c>
      <c r="K48" s="190">
        <v>248094</v>
      </c>
      <c r="L48" s="183">
        <f>ROUND((K48*(1+'Løntabel gældende fra'!$D$7%)),0)</f>
        <v>305923</v>
      </c>
      <c r="M48" s="387"/>
      <c r="N48" s="365">
        <v>216591.65</v>
      </c>
      <c r="O48" s="197">
        <f>ROUND(N48*(1+'Løntabel gældende fra'!$D$7%),2)</f>
        <v>267078.08</v>
      </c>
    </row>
    <row r="49" spans="1:15">
      <c r="A49" s="2074"/>
      <c r="B49" s="369" t="s">
        <v>97</v>
      </c>
      <c r="C49" s="374"/>
      <c r="D49" s="381">
        <f>ROUND(D48/12,2)</f>
        <v>23803.75</v>
      </c>
      <c r="E49" s="378">
        <f>E48/12</f>
        <v>19708.916666666668</v>
      </c>
      <c r="F49" s="363">
        <f>ROUND(F48/12,2)</f>
        <v>24303</v>
      </c>
      <c r="G49" s="374">
        <f>G48/12</f>
        <v>19989.166666666668</v>
      </c>
      <c r="H49" s="381">
        <f>ROUND(H48/12,2)</f>
        <v>24648.5</v>
      </c>
      <c r="I49" s="378">
        <f>I48/12</f>
        <v>20394.166666666668</v>
      </c>
      <c r="J49" s="363">
        <f>ROUND(J48/12,2)</f>
        <v>25147.919999999998</v>
      </c>
      <c r="K49" s="374">
        <f>K48/12</f>
        <v>20674.5</v>
      </c>
      <c r="L49" s="381">
        <f>ROUND(L48/12,2)</f>
        <v>25493.58</v>
      </c>
      <c r="M49" s="386"/>
      <c r="N49" s="364"/>
      <c r="O49" s="366">
        <f>ROUND(O48/12,2)</f>
        <v>22256.51</v>
      </c>
    </row>
    <row r="50" spans="1:15" ht="15" thickBot="1">
      <c r="A50" s="2075"/>
      <c r="B50" s="349" t="s">
        <v>205</v>
      </c>
      <c r="C50" s="187">
        <f>C48/12</f>
        <v>19304.083333333332</v>
      </c>
      <c r="D50" s="188">
        <f>ROUND(D49/160.33,2)</f>
        <v>148.47</v>
      </c>
      <c r="E50" s="379"/>
      <c r="F50" s="188">
        <f t="shared" ref="F50:O50" si="15">ROUND(F49/160.33,2)</f>
        <v>151.58000000000001</v>
      </c>
      <c r="G50" s="188">
        <f t="shared" si="15"/>
        <v>124.68</v>
      </c>
      <c r="H50" s="188">
        <f t="shared" si="15"/>
        <v>153.74</v>
      </c>
      <c r="I50" s="188">
        <f t="shared" si="15"/>
        <v>127.2</v>
      </c>
      <c r="J50" s="188">
        <f t="shared" si="15"/>
        <v>156.85</v>
      </c>
      <c r="K50" s="188">
        <f t="shared" si="15"/>
        <v>128.94999999999999</v>
      </c>
      <c r="L50" s="188">
        <f t="shared" si="15"/>
        <v>159.01</v>
      </c>
      <c r="M50" s="188">
        <f t="shared" si="15"/>
        <v>0</v>
      </c>
      <c r="N50" s="188">
        <f t="shared" si="15"/>
        <v>0</v>
      </c>
      <c r="O50" s="188">
        <f t="shared" si="15"/>
        <v>138.82</v>
      </c>
    </row>
    <row r="51" spans="1:15">
      <c r="A51" s="2076">
        <v>16</v>
      </c>
      <c r="B51" s="347" t="s">
        <v>96</v>
      </c>
      <c r="C51" s="190">
        <v>234743</v>
      </c>
      <c r="D51" s="183">
        <f>ROUND((C51*(1+'Løntabel gældende fra'!$D$7%)),0)</f>
        <v>289460</v>
      </c>
      <c r="E51" s="191">
        <v>239725</v>
      </c>
      <c r="F51" s="192">
        <f>ROUND((E51*(1+'Løntabel gældende fra'!$D$7%)),0)</f>
        <v>295604</v>
      </c>
      <c r="G51" s="190">
        <v>243175</v>
      </c>
      <c r="H51" s="183">
        <f>ROUND((G51*(1+'Løntabel gældende fra'!$D$7%)),0)</f>
        <v>299858</v>
      </c>
      <c r="I51" s="191">
        <v>248156</v>
      </c>
      <c r="J51" s="192">
        <f>ROUND((I51*(1+'Løntabel gældende fra'!$D$7%)),0)</f>
        <v>306000</v>
      </c>
      <c r="K51" s="190">
        <v>251606</v>
      </c>
      <c r="L51" s="183">
        <f>ROUND((K51*(1+'Løntabel gældende fra'!$D$7%)),0)</f>
        <v>310254</v>
      </c>
      <c r="M51" s="387"/>
      <c r="N51" s="365">
        <v>220480.52</v>
      </c>
      <c r="O51" s="197">
        <f>ROUND(N51*(1+'Løntabel gældende fra'!$D$7%),2)</f>
        <v>271873.43</v>
      </c>
    </row>
    <row r="52" spans="1:15">
      <c r="A52" s="2074"/>
      <c r="B52" s="369" t="s">
        <v>210</v>
      </c>
      <c r="C52" s="374"/>
      <c r="D52" s="381">
        <f>ROUND(D51/12,2)</f>
        <v>24121.67</v>
      </c>
      <c r="E52" s="378">
        <f>E51/12</f>
        <v>19977.083333333332</v>
      </c>
      <c r="F52" s="363">
        <f>ROUND(F51/12,2)</f>
        <v>24633.67</v>
      </c>
      <c r="G52" s="374">
        <f>G51/12</f>
        <v>20264.583333333332</v>
      </c>
      <c r="H52" s="381">
        <f>ROUND(H51/12,2)</f>
        <v>24988.17</v>
      </c>
      <c r="I52" s="378">
        <f>I51/12</f>
        <v>20679.666666666668</v>
      </c>
      <c r="J52" s="363">
        <f>ROUND(J51/12,2)</f>
        <v>25500</v>
      </c>
      <c r="K52" s="374">
        <f>K51/12</f>
        <v>20967.166666666668</v>
      </c>
      <c r="L52" s="381">
        <f>ROUND(L51/12,2)</f>
        <v>25854.5</v>
      </c>
      <c r="M52" s="386"/>
      <c r="N52" s="364"/>
      <c r="O52" s="366">
        <f>ROUND(O51/12,2)</f>
        <v>22656.12</v>
      </c>
    </row>
    <row r="53" spans="1:15" ht="15" thickBot="1">
      <c r="A53" s="2075"/>
      <c r="B53" s="349" t="s">
        <v>205</v>
      </c>
      <c r="C53" s="187">
        <f>C51/12</f>
        <v>19561.916666666668</v>
      </c>
      <c r="D53" s="188">
        <f>ROUND(D52/160.33,2)</f>
        <v>150.44999999999999</v>
      </c>
      <c r="E53" s="379"/>
      <c r="F53" s="188">
        <f t="shared" ref="F53:O53" si="16">ROUND(F52/160.33,2)</f>
        <v>153.63999999999999</v>
      </c>
      <c r="G53" s="188">
        <f t="shared" si="16"/>
        <v>126.39</v>
      </c>
      <c r="H53" s="188">
        <f t="shared" si="16"/>
        <v>155.85</v>
      </c>
      <c r="I53" s="188">
        <f t="shared" si="16"/>
        <v>128.97999999999999</v>
      </c>
      <c r="J53" s="188">
        <f t="shared" si="16"/>
        <v>159.05000000000001</v>
      </c>
      <c r="K53" s="188">
        <f t="shared" si="16"/>
        <v>130.78</v>
      </c>
      <c r="L53" s="188">
        <f t="shared" si="16"/>
        <v>161.26</v>
      </c>
      <c r="M53" s="188">
        <f t="shared" si="16"/>
        <v>0</v>
      </c>
      <c r="N53" s="188">
        <f t="shared" si="16"/>
        <v>0</v>
      </c>
      <c r="O53" s="188">
        <f t="shared" si="16"/>
        <v>141.31</v>
      </c>
    </row>
    <row r="54" spans="1:15">
      <c r="A54" s="2073">
        <v>17</v>
      </c>
      <c r="B54" s="181" t="s">
        <v>96</v>
      </c>
      <c r="C54" s="182">
        <v>239005</v>
      </c>
      <c r="D54" s="186">
        <f>ROUND((C54*(1+'Løntabel gældende fra'!$D$7%)),0)</f>
        <v>294716</v>
      </c>
      <c r="E54" s="184">
        <v>244114</v>
      </c>
      <c r="F54" s="185">
        <f>ROUND((E54*(1+'Løntabel gældende fra'!$D$7%)),0)</f>
        <v>301016</v>
      </c>
      <c r="G54" s="182">
        <v>247651</v>
      </c>
      <c r="H54" s="186">
        <f>ROUND((G54*(1+'Løntabel gældende fra'!$D$7%)),0)</f>
        <v>305377</v>
      </c>
      <c r="I54" s="184">
        <v>252759</v>
      </c>
      <c r="J54" s="185">
        <f>ROUND((I54*(1+'Løntabel gældende fra'!$D$7%)),0)</f>
        <v>311676</v>
      </c>
      <c r="K54" s="182">
        <v>256294</v>
      </c>
      <c r="L54" s="186">
        <f>ROUND((K54*(1+'Løntabel gældende fra'!$D$7%)),0)</f>
        <v>316035</v>
      </c>
      <c r="M54" s="388"/>
      <c r="N54" s="367">
        <v>224474.06</v>
      </c>
      <c r="O54" s="368">
        <f>ROUND(N54*(1+'Løntabel gældende fra'!$D$7%),2)</f>
        <v>276797.84000000003</v>
      </c>
    </row>
    <row r="55" spans="1:15">
      <c r="A55" s="2074"/>
      <c r="B55" s="369" t="s">
        <v>210</v>
      </c>
      <c r="C55" s="374"/>
      <c r="D55" s="381">
        <f>ROUND(D54/12,2)</f>
        <v>24559.67</v>
      </c>
      <c r="E55" s="378">
        <f>E54/12</f>
        <v>20342.833333333332</v>
      </c>
      <c r="F55" s="363">
        <f>ROUND(F54/12,2)</f>
        <v>25084.67</v>
      </c>
      <c r="G55" s="374">
        <f>G54/12</f>
        <v>20637.583333333332</v>
      </c>
      <c r="H55" s="381">
        <f>ROUND(H54/12,2)</f>
        <v>25448.080000000002</v>
      </c>
      <c r="I55" s="378">
        <f>I54/12</f>
        <v>21063.25</v>
      </c>
      <c r="J55" s="363">
        <f>ROUND(J54/12,2)</f>
        <v>25973</v>
      </c>
      <c r="K55" s="374">
        <f>K54/12</f>
        <v>21357.833333333332</v>
      </c>
      <c r="L55" s="381">
        <f>ROUND(L54/12,2)</f>
        <v>26336.25</v>
      </c>
      <c r="M55" s="386"/>
      <c r="N55" s="364"/>
      <c r="O55" s="366">
        <f>ROUND(O54/12,2)</f>
        <v>23066.49</v>
      </c>
    </row>
    <row r="56" spans="1:15" ht="15" thickBot="1">
      <c r="A56" s="2077"/>
      <c r="B56" s="370" t="s">
        <v>205</v>
      </c>
      <c r="C56" s="377">
        <f>C54/12</f>
        <v>19917.083333333332</v>
      </c>
      <c r="D56" s="188">
        <f>ROUND(D55/160.33,2)</f>
        <v>153.18</v>
      </c>
      <c r="E56" s="380"/>
      <c r="F56" s="188">
        <f t="shared" ref="F56:O56" si="17">ROUND(F55/160.33,2)</f>
        <v>156.46</v>
      </c>
      <c r="G56" s="188">
        <f t="shared" si="17"/>
        <v>128.72</v>
      </c>
      <c r="H56" s="188">
        <f t="shared" si="17"/>
        <v>158.72</v>
      </c>
      <c r="I56" s="188">
        <f t="shared" si="17"/>
        <v>131.37</v>
      </c>
      <c r="J56" s="188">
        <f t="shared" si="17"/>
        <v>162</v>
      </c>
      <c r="K56" s="188">
        <f t="shared" si="17"/>
        <v>133.21</v>
      </c>
      <c r="L56" s="188">
        <f t="shared" si="17"/>
        <v>164.26</v>
      </c>
      <c r="M56" s="188">
        <f t="shared" si="17"/>
        <v>0</v>
      </c>
      <c r="N56" s="188">
        <f t="shared" si="17"/>
        <v>0</v>
      </c>
      <c r="O56" s="188">
        <f t="shared" si="17"/>
        <v>143.87</v>
      </c>
    </row>
    <row r="57" spans="1:15">
      <c r="A57" s="2076">
        <v>18</v>
      </c>
      <c r="B57" s="347" t="s">
        <v>96</v>
      </c>
      <c r="C57" s="190">
        <v>243387</v>
      </c>
      <c r="D57" s="183">
        <f>ROUND((C57*(1+'Løntabel gældende fra'!$D$7%)),0)</f>
        <v>300119</v>
      </c>
      <c r="E57" s="191">
        <v>248626</v>
      </c>
      <c r="F57" s="192">
        <f>ROUND((E57*(1+'Løntabel gældende fra'!$D$7%)),0)</f>
        <v>306579</v>
      </c>
      <c r="G57" s="190">
        <v>252252</v>
      </c>
      <c r="H57" s="183">
        <f>ROUND((G57*(1+'Løntabel gældende fra'!$D$7%)),0)</f>
        <v>311051</v>
      </c>
      <c r="I57" s="191">
        <v>257490</v>
      </c>
      <c r="J57" s="192">
        <f>ROUND((I57*(1+'Løntabel gældende fra'!$D$7%)),0)</f>
        <v>317510</v>
      </c>
      <c r="K57" s="190">
        <v>261115</v>
      </c>
      <c r="L57" s="183">
        <f>ROUND((K57*(1+'Løntabel gældende fra'!$D$7%)),0)</f>
        <v>321980</v>
      </c>
      <c r="M57" s="387"/>
      <c r="N57" s="365">
        <v>228579.5</v>
      </c>
      <c r="O57" s="197">
        <f>ROUND(N57*(1+'Løntabel gældende fra'!$D$7%),2)</f>
        <v>281860.24</v>
      </c>
    </row>
    <row r="58" spans="1:15">
      <c r="A58" s="2074"/>
      <c r="B58" s="369" t="s">
        <v>97</v>
      </c>
      <c r="C58" s="374"/>
      <c r="D58" s="381">
        <f>ROUND(D57/12,2)</f>
        <v>25009.919999999998</v>
      </c>
      <c r="E58" s="378">
        <f>E57/12</f>
        <v>20718.833333333332</v>
      </c>
      <c r="F58" s="363">
        <f>ROUND(F57/12,2)</f>
        <v>25548.25</v>
      </c>
      <c r="G58" s="374">
        <f>G57/12</f>
        <v>21021</v>
      </c>
      <c r="H58" s="381">
        <f>ROUND(H57/12,2)</f>
        <v>25920.92</v>
      </c>
      <c r="I58" s="378">
        <f>I57/12</f>
        <v>21457.5</v>
      </c>
      <c r="J58" s="363">
        <f>ROUND(J57/12,2)</f>
        <v>26459.17</v>
      </c>
      <c r="K58" s="374">
        <f>K57/12</f>
        <v>21759.583333333332</v>
      </c>
      <c r="L58" s="381">
        <f>ROUND(L57/12,2)</f>
        <v>26831.67</v>
      </c>
      <c r="M58" s="386"/>
      <c r="N58" s="364"/>
      <c r="O58" s="366">
        <f>ROUND(O57/12,2)</f>
        <v>23488.35</v>
      </c>
    </row>
    <row r="59" spans="1:15" ht="15" thickBot="1">
      <c r="A59" s="2075"/>
      <c r="B59" s="349" t="s">
        <v>205</v>
      </c>
      <c r="C59" s="187">
        <f>C57/12</f>
        <v>20282.25</v>
      </c>
      <c r="D59" s="188">
        <f>ROUND(D58/160.33,2)</f>
        <v>155.99</v>
      </c>
      <c r="E59" s="379"/>
      <c r="F59" s="188">
        <f t="shared" ref="F59:O59" si="18">ROUND(F58/160.33,2)</f>
        <v>159.35</v>
      </c>
      <c r="G59" s="188">
        <f t="shared" si="18"/>
        <v>131.11000000000001</v>
      </c>
      <c r="H59" s="188">
        <f t="shared" si="18"/>
        <v>161.66999999999999</v>
      </c>
      <c r="I59" s="188">
        <f t="shared" si="18"/>
        <v>133.83000000000001</v>
      </c>
      <c r="J59" s="188">
        <f t="shared" si="18"/>
        <v>165.03</v>
      </c>
      <c r="K59" s="188">
        <f t="shared" si="18"/>
        <v>135.72</v>
      </c>
      <c r="L59" s="188">
        <f t="shared" si="18"/>
        <v>167.35</v>
      </c>
      <c r="M59" s="188">
        <f t="shared" si="18"/>
        <v>0</v>
      </c>
      <c r="N59" s="188">
        <f t="shared" si="18"/>
        <v>0</v>
      </c>
      <c r="O59" s="188">
        <f t="shared" si="18"/>
        <v>146.5</v>
      </c>
    </row>
    <row r="60" spans="1:15">
      <c r="A60" s="2073">
        <v>19</v>
      </c>
      <c r="B60" s="181" t="s">
        <v>96</v>
      </c>
      <c r="C60" s="182">
        <v>246657</v>
      </c>
      <c r="D60" s="186">
        <f>ROUND((C60*(1+'Løntabel gældende fra'!$D$7%)),0)</f>
        <v>304152</v>
      </c>
      <c r="E60" s="184">
        <v>252029</v>
      </c>
      <c r="F60" s="185">
        <f>ROUND((E60*(1+'Løntabel gældende fra'!$D$7%)),0)</f>
        <v>310776</v>
      </c>
      <c r="G60" s="182">
        <v>255746</v>
      </c>
      <c r="H60" s="186">
        <f>ROUND((G60*(1+'Løntabel gældende fra'!$D$7%)),0)</f>
        <v>315359</v>
      </c>
      <c r="I60" s="184">
        <v>261119</v>
      </c>
      <c r="J60" s="185">
        <f>ROUND((I60*(1+'Løntabel gældende fra'!$D$7%)),0)</f>
        <v>321985</v>
      </c>
      <c r="K60" s="182">
        <v>264839</v>
      </c>
      <c r="L60" s="186">
        <f>ROUND((K60*(1+'Løntabel gældende fra'!$D$7%)),0)</f>
        <v>326572</v>
      </c>
      <c r="M60" s="388"/>
      <c r="N60" s="367">
        <v>232796.81</v>
      </c>
      <c r="O60" s="368">
        <f>ROUND(N60*(1+'Løntabel gældende fra'!$D$7%),2)</f>
        <v>287060.58</v>
      </c>
    </row>
    <row r="61" spans="1:15">
      <c r="A61" s="2074"/>
      <c r="B61" s="369" t="s">
        <v>210</v>
      </c>
      <c r="C61" s="374"/>
      <c r="D61" s="381">
        <f>ROUND(D60/12,2)</f>
        <v>25346</v>
      </c>
      <c r="E61" s="378">
        <f>E60/12</f>
        <v>21002.416666666668</v>
      </c>
      <c r="F61" s="363">
        <f>ROUND(F60/12,2)</f>
        <v>25898</v>
      </c>
      <c r="G61" s="374">
        <f>G60/12</f>
        <v>21312.166666666668</v>
      </c>
      <c r="H61" s="381">
        <f>ROUND(H60/12,2)</f>
        <v>26279.919999999998</v>
      </c>
      <c r="I61" s="378">
        <f>I60/12</f>
        <v>21759.916666666668</v>
      </c>
      <c r="J61" s="363">
        <f>ROUND(J60/12,2)</f>
        <v>26832.080000000002</v>
      </c>
      <c r="K61" s="374">
        <f>K60/12</f>
        <v>22069.916666666668</v>
      </c>
      <c r="L61" s="381">
        <f>ROUND(L60/12,2)</f>
        <v>27214.33</v>
      </c>
      <c r="M61" s="386"/>
      <c r="N61" s="364"/>
      <c r="O61" s="366">
        <f>ROUND(O60/12,2)</f>
        <v>23921.72</v>
      </c>
    </row>
    <row r="62" spans="1:15" ht="15" thickBot="1">
      <c r="A62" s="2077"/>
      <c r="B62" s="370" t="s">
        <v>205</v>
      </c>
      <c r="C62" s="377">
        <f>C60/12</f>
        <v>20554.75</v>
      </c>
      <c r="D62" s="188">
        <f>ROUND(D61/160.33,2)</f>
        <v>158.09</v>
      </c>
      <c r="E62" s="380"/>
      <c r="F62" s="188">
        <f t="shared" ref="F62:O62" si="19">ROUND(F61/160.33,2)</f>
        <v>161.53</v>
      </c>
      <c r="G62" s="188">
        <f t="shared" si="19"/>
        <v>132.93</v>
      </c>
      <c r="H62" s="188">
        <f t="shared" si="19"/>
        <v>163.91</v>
      </c>
      <c r="I62" s="188">
        <f t="shared" si="19"/>
        <v>135.72</v>
      </c>
      <c r="J62" s="188">
        <f t="shared" si="19"/>
        <v>167.36</v>
      </c>
      <c r="K62" s="188">
        <f t="shared" si="19"/>
        <v>137.65</v>
      </c>
      <c r="L62" s="188">
        <f t="shared" si="19"/>
        <v>169.74</v>
      </c>
      <c r="M62" s="188">
        <f t="shared" si="19"/>
        <v>0</v>
      </c>
      <c r="N62" s="188">
        <f t="shared" si="19"/>
        <v>0</v>
      </c>
      <c r="O62" s="188">
        <f t="shared" si="19"/>
        <v>149.19999999999999</v>
      </c>
    </row>
    <row r="63" spans="1:15">
      <c r="A63" s="2076">
        <v>20</v>
      </c>
      <c r="B63" s="347" t="s">
        <v>96</v>
      </c>
      <c r="C63" s="190">
        <v>250053</v>
      </c>
      <c r="D63" s="183">
        <f>ROUND((C63*(1+'Løntabel gældende fra'!$D$7%)),0)</f>
        <v>308339</v>
      </c>
      <c r="E63" s="191">
        <v>255560</v>
      </c>
      <c r="F63" s="192">
        <f>ROUND((E63*(1+'Løntabel gældende fra'!$D$7%)),0)</f>
        <v>315130</v>
      </c>
      <c r="G63" s="190">
        <v>259374</v>
      </c>
      <c r="H63" s="183">
        <f>ROUND((G63*(1+'Løntabel gældende fra'!$D$7%)),0)</f>
        <v>319833</v>
      </c>
      <c r="I63" s="191">
        <v>264882</v>
      </c>
      <c r="J63" s="192">
        <f>ROUND((I63*(1+'Løntabel gældende fra'!$D$7%)),0)</f>
        <v>326625</v>
      </c>
      <c r="K63" s="190">
        <v>268694</v>
      </c>
      <c r="L63" s="183">
        <f>ROUND((K63*(1+'Løntabel gældende fra'!$D$7%)),0)</f>
        <v>331325</v>
      </c>
      <c r="M63" s="387"/>
      <c r="N63" s="365">
        <v>237129.61</v>
      </c>
      <c r="O63" s="197">
        <f>ROUND(N63*(1+'Løntabel gældende fra'!$D$7%),2)</f>
        <v>292403.34000000003</v>
      </c>
    </row>
    <row r="64" spans="1:15">
      <c r="A64" s="2074"/>
      <c r="B64" s="369" t="s">
        <v>97</v>
      </c>
      <c r="C64" s="374"/>
      <c r="D64" s="381">
        <f>ROUND(D63/12,2)</f>
        <v>25694.92</v>
      </c>
      <c r="E64" s="378">
        <f>E63/12</f>
        <v>21296.666666666668</v>
      </c>
      <c r="F64" s="363">
        <f>ROUND(F63/12,2)</f>
        <v>26260.83</v>
      </c>
      <c r="G64" s="374">
        <f>G63/12</f>
        <v>21614.5</v>
      </c>
      <c r="H64" s="381">
        <f>ROUND(H63/12,2)</f>
        <v>26652.75</v>
      </c>
      <c r="I64" s="378">
        <f>I63/12</f>
        <v>22073.5</v>
      </c>
      <c r="J64" s="363">
        <f>ROUND(J63/12,2)</f>
        <v>27218.75</v>
      </c>
      <c r="K64" s="374">
        <f>K63/12</f>
        <v>22391.166666666668</v>
      </c>
      <c r="L64" s="381">
        <f>ROUND(L63/12,2)</f>
        <v>27610.42</v>
      </c>
      <c r="M64" s="386"/>
      <c r="N64" s="364"/>
      <c r="O64" s="366">
        <f>ROUND(O63/12,2)</f>
        <v>24366.95</v>
      </c>
    </row>
    <row r="65" spans="1:15" ht="15" thickBot="1">
      <c r="A65" s="2075"/>
      <c r="B65" s="349" t="s">
        <v>205</v>
      </c>
      <c r="C65" s="187">
        <f>C63/12</f>
        <v>20837.75</v>
      </c>
      <c r="D65" s="188">
        <f>ROUND(D64/160.33,2)</f>
        <v>160.26</v>
      </c>
      <c r="E65" s="379"/>
      <c r="F65" s="188">
        <f t="shared" ref="F65:O65" si="20">ROUND(F64/160.33,2)</f>
        <v>163.79</v>
      </c>
      <c r="G65" s="188">
        <f t="shared" si="20"/>
        <v>134.81</v>
      </c>
      <c r="H65" s="188">
        <f t="shared" si="20"/>
        <v>166.24</v>
      </c>
      <c r="I65" s="188">
        <f t="shared" si="20"/>
        <v>137.68</v>
      </c>
      <c r="J65" s="188">
        <f t="shared" si="20"/>
        <v>169.77</v>
      </c>
      <c r="K65" s="188">
        <f t="shared" si="20"/>
        <v>139.66</v>
      </c>
      <c r="L65" s="188">
        <f t="shared" si="20"/>
        <v>172.21</v>
      </c>
      <c r="M65" s="188">
        <f t="shared" si="20"/>
        <v>0</v>
      </c>
      <c r="N65" s="188">
        <f t="shared" si="20"/>
        <v>0</v>
      </c>
      <c r="O65" s="188">
        <f t="shared" si="20"/>
        <v>151.97999999999999</v>
      </c>
    </row>
    <row r="66" spans="1:15">
      <c r="A66" s="2073">
        <v>21</v>
      </c>
      <c r="B66" s="181" t="s">
        <v>96</v>
      </c>
      <c r="C66" s="182">
        <v>254192</v>
      </c>
      <c r="D66" s="186">
        <f>ROUND((C66*(1+'Løntabel gældende fra'!$D$7%)),0)</f>
        <v>313443</v>
      </c>
      <c r="E66" s="184">
        <v>259841</v>
      </c>
      <c r="F66" s="185">
        <f>ROUND((E66*(1+'Løntabel gældende fra'!$D$7%)),0)</f>
        <v>320409</v>
      </c>
      <c r="G66" s="182">
        <v>263752</v>
      </c>
      <c r="H66" s="186">
        <f>ROUND((G66*(1+'Løntabel gældende fra'!$D$7%)),0)</f>
        <v>325231</v>
      </c>
      <c r="I66" s="184">
        <v>269401</v>
      </c>
      <c r="J66" s="185">
        <f>ROUND((I66*(1+'Løntabel gældende fra'!$D$7%)),0)</f>
        <v>332197</v>
      </c>
      <c r="K66" s="182">
        <v>273312</v>
      </c>
      <c r="L66" s="186">
        <f>ROUND((K66*(1+'Løntabel gældende fra'!$D$7%)),0)</f>
        <v>337020</v>
      </c>
      <c r="M66" s="388"/>
      <c r="N66" s="367">
        <v>241583.32</v>
      </c>
      <c r="O66" s="368">
        <f>ROUND(N66*(1+'Løntabel gældende fra'!$D$7%),2)</f>
        <v>297895.18</v>
      </c>
    </row>
    <row r="67" spans="1:15">
      <c r="A67" s="2074"/>
      <c r="B67" s="369" t="s">
        <v>210</v>
      </c>
      <c r="C67" s="374"/>
      <c r="D67" s="381">
        <f>ROUND(D66/12,2)</f>
        <v>26120.25</v>
      </c>
      <c r="E67" s="378">
        <f>E66/12</f>
        <v>21653.416666666668</v>
      </c>
      <c r="F67" s="363">
        <f>ROUND(F66/12,2)</f>
        <v>26700.75</v>
      </c>
      <c r="G67" s="374">
        <f>G66/12</f>
        <v>21979.333333333332</v>
      </c>
      <c r="H67" s="381">
        <f>ROUND(H66/12,2)</f>
        <v>27102.58</v>
      </c>
      <c r="I67" s="378">
        <f>I66/12</f>
        <v>22450.083333333332</v>
      </c>
      <c r="J67" s="363">
        <f>ROUND(J66/12,2)</f>
        <v>27683.08</v>
      </c>
      <c r="K67" s="374">
        <f>K66/12</f>
        <v>22776</v>
      </c>
      <c r="L67" s="381">
        <f>ROUND(L66/12,2)</f>
        <v>28085</v>
      </c>
      <c r="M67" s="386"/>
      <c r="N67" s="364"/>
      <c r="O67" s="366">
        <f>ROUND(O66/12,2)</f>
        <v>24824.6</v>
      </c>
    </row>
    <row r="68" spans="1:15" ht="15" thickBot="1">
      <c r="A68" s="2077"/>
      <c r="B68" s="370" t="s">
        <v>205</v>
      </c>
      <c r="C68" s="377">
        <f>C66/12</f>
        <v>21182.666666666668</v>
      </c>
      <c r="D68" s="188">
        <f>ROUND(D67/160.33,2)</f>
        <v>162.91999999999999</v>
      </c>
      <c r="E68" s="380"/>
      <c r="F68" s="188">
        <f t="shared" ref="F68:O68" si="21">ROUND(F67/160.33,2)</f>
        <v>166.54</v>
      </c>
      <c r="G68" s="188">
        <f t="shared" si="21"/>
        <v>137.09</v>
      </c>
      <c r="H68" s="188">
        <f t="shared" si="21"/>
        <v>169.04</v>
      </c>
      <c r="I68" s="188">
        <f t="shared" si="21"/>
        <v>140.02000000000001</v>
      </c>
      <c r="J68" s="188">
        <f t="shared" si="21"/>
        <v>172.66</v>
      </c>
      <c r="K68" s="188">
        <f t="shared" si="21"/>
        <v>142.06</v>
      </c>
      <c r="L68" s="188">
        <f t="shared" si="21"/>
        <v>175.17</v>
      </c>
      <c r="M68" s="188">
        <f t="shared" si="21"/>
        <v>0</v>
      </c>
      <c r="N68" s="188">
        <f t="shared" si="21"/>
        <v>0</v>
      </c>
      <c r="O68" s="188">
        <f t="shared" si="21"/>
        <v>154.83000000000001</v>
      </c>
    </row>
    <row r="69" spans="1:15">
      <c r="A69" s="2076">
        <v>22</v>
      </c>
      <c r="B69" s="194" t="s">
        <v>96</v>
      </c>
      <c r="C69" s="190">
        <v>258027</v>
      </c>
      <c r="D69" s="183">
        <f>ROUND((C69*(1+'Løntabel gældende fra'!$D$7%)),0)</f>
        <v>318172</v>
      </c>
      <c r="E69" s="191">
        <v>263676</v>
      </c>
      <c r="F69" s="192">
        <f>ROUND((E69*(1+'Løntabel gældende fra'!$D$7%)),0)</f>
        <v>325138</v>
      </c>
      <c r="G69" s="190">
        <v>267587</v>
      </c>
      <c r="H69" s="183">
        <f>ROUND((G69*(1+'Løntabel gældende fra'!$D$7%)),0)</f>
        <v>329960</v>
      </c>
      <c r="I69" s="191">
        <v>273236</v>
      </c>
      <c r="J69" s="192">
        <f>ROUND((I69*(1+'Løntabel gældende fra'!$D$7%)),0)</f>
        <v>336926</v>
      </c>
      <c r="K69" s="190">
        <v>277147</v>
      </c>
      <c r="L69" s="183">
        <f>ROUND((K69*(1+'Løntabel gældende fra'!$D$7%)),0)</f>
        <v>341749</v>
      </c>
      <c r="M69" s="387"/>
      <c r="N69" s="365">
        <v>246033.33</v>
      </c>
      <c r="O69" s="197">
        <f>ROUND(N69*(1+'Løntabel gældende fra'!$D$7%),2)</f>
        <v>303382.46999999997</v>
      </c>
    </row>
    <row r="70" spans="1:15">
      <c r="A70" s="2074"/>
      <c r="B70" s="371" t="s">
        <v>210</v>
      </c>
      <c r="C70" s="374"/>
      <c r="D70" s="381">
        <f>ROUND(D69/12,2)</f>
        <v>26514.33</v>
      </c>
      <c r="E70" s="378">
        <f>E69/12</f>
        <v>21973</v>
      </c>
      <c r="F70" s="363">
        <f>ROUND(F69/12,2)</f>
        <v>27094.83</v>
      </c>
      <c r="G70" s="374">
        <f>G69/12</f>
        <v>22298.916666666668</v>
      </c>
      <c r="H70" s="381">
        <f>ROUND(H69/12,2)</f>
        <v>27496.67</v>
      </c>
      <c r="I70" s="378">
        <f>I69/12</f>
        <v>22769.666666666668</v>
      </c>
      <c r="J70" s="363">
        <f>ROUND(J69/12,2)</f>
        <v>28077.17</v>
      </c>
      <c r="K70" s="374">
        <f>K69/12</f>
        <v>23095.583333333332</v>
      </c>
      <c r="L70" s="381">
        <f>ROUND(L69/12,2)</f>
        <v>28479.08</v>
      </c>
      <c r="M70" s="386"/>
      <c r="N70" s="364"/>
      <c r="O70" s="366">
        <f>ROUND(O69/12,2)</f>
        <v>25281.87</v>
      </c>
    </row>
    <row r="71" spans="1:15" ht="15" thickBot="1">
      <c r="A71" s="2075"/>
      <c r="B71" s="372" t="s">
        <v>205</v>
      </c>
      <c r="C71" s="187">
        <v>262137</v>
      </c>
      <c r="D71" s="188">
        <f>ROUND(D70/160.33,2)</f>
        <v>165.37</v>
      </c>
      <c r="E71" s="379"/>
      <c r="F71" s="188">
        <f t="shared" ref="F71:O71" si="22">ROUND(F70/160.33,2)</f>
        <v>168.99</v>
      </c>
      <c r="G71" s="188">
        <f t="shared" si="22"/>
        <v>139.08000000000001</v>
      </c>
      <c r="H71" s="188">
        <f t="shared" si="22"/>
        <v>171.5</v>
      </c>
      <c r="I71" s="188">
        <f t="shared" si="22"/>
        <v>142.02000000000001</v>
      </c>
      <c r="J71" s="188">
        <f t="shared" si="22"/>
        <v>175.12</v>
      </c>
      <c r="K71" s="188">
        <f t="shared" si="22"/>
        <v>144.05000000000001</v>
      </c>
      <c r="L71" s="188">
        <f t="shared" si="22"/>
        <v>177.63</v>
      </c>
      <c r="M71" s="188">
        <f t="shared" si="22"/>
        <v>0</v>
      </c>
      <c r="N71" s="188">
        <f t="shared" si="22"/>
        <v>0</v>
      </c>
      <c r="O71" s="188">
        <f t="shared" si="22"/>
        <v>157.69</v>
      </c>
    </row>
    <row r="72" spans="1:15">
      <c r="A72" s="2073">
        <v>23</v>
      </c>
      <c r="B72" s="193" t="s">
        <v>96</v>
      </c>
      <c r="C72" s="182">
        <v>262137</v>
      </c>
      <c r="D72" s="186">
        <f>ROUND((C72*(1+'Løntabel gældende fra'!$D$7%)),0)</f>
        <v>323240</v>
      </c>
      <c r="E72" s="184">
        <v>267629</v>
      </c>
      <c r="F72" s="185">
        <f>ROUND((E72*(1+'Løntabel gældende fra'!$D$7%)),0)</f>
        <v>330012</v>
      </c>
      <c r="G72" s="182">
        <v>271434</v>
      </c>
      <c r="H72" s="186">
        <f>ROUND((G72*(1+'Løntabel gældende fra'!$D$7%)),0)</f>
        <v>334704</v>
      </c>
      <c r="I72" s="184">
        <v>276928</v>
      </c>
      <c r="J72" s="185">
        <f>ROUND((I72*(1+'Løntabel gældende fra'!$D$7%)),0)</f>
        <v>341479</v>
      </c>
      <c r="K72" s="182">
        <v>280730</v>
      </c>
      <c r="L72" s="186">
        <f>ROUND((K72*(1+'Løntabel gældende fra'!$D$7%)),0)</f>
        <v>346167</v>
      </c>
      <c r="M72" s="388"/>
      <c r="N72" s="367">
        <v>250472.55</v>
      </c>
      <c r="O72" s="368">
        <f>ROUND(N72*(1+'Løntabel gældende fra'!$D$7%),2)</f>
        <v>308856.45</v>
      </c>
    </row>
    <row r="73" spans="1:15">
      <c r="A73" s="2074"/>
      <c r="B73" s="371" t="s">
        <v>210</v>
      </c>
      <c r="C73" s="374"/>
      <c r="D73" s="381">
        <f>ROUND(D72/12,2)</f>
        <v>26936.67</v>
      </c>
      <c r="E73" s="378">
        <f>E72/12</f>
        <v>22302.416666666668</v>
      </c>
      <c r="F73" s="363">
        <f>ROUND(F72/12,2)</f>
        <v>27501</v>
      </c>
      <c r="G73" s="374">
        <f>G72/12</f>
        <v>22619.5</v>
      </c>
      <c r="H73" s="381">
        <f>ROUND(H72/12,2)</f>
        <v>27892</v>
      </c>
      <c r="I73" s="378">
        <f>I72/12</f>
        <v>23077.333333333332</v>
      </c>
      <c r="J73" s="363">
        <f>ROUND(J72/12,2)</f>
        <v>28456.58</v>
      </c>
      <c r="K73" s="374">
        <f>K72/12</f>
        <v>23394.166666666668</v>
      </c>
      <c r="L73" s="381">
        <f>ROUND(L72/12,2)</f>
        <v>28847.25</v>
      </c>
      <c r="M73" s="386"/>
      <c r="N73" s="364"/>
      <c r="O73" s="366">
        <f>ROUND(O72/12,2)</f>
        <v>25738.04</v>
      </c>
    </row>
    <row r="74" spans="1:15" ht="15" thickBot="1">
      <c r="A74" s="2077"/>
      <c r="B74" s="373" t="s">
        <v>205</v>
      </c>
      <c r="C74" s="377">
        <f>C72/12</f>
        <v>21844.75</v>
      </c>
      <c r="D74" s="188">
        <f>ROUND(D73/160.33,2)</f>
        <v>168.01</v>
      </c>
      <c r="E74" s="380"/>
      <c r="F74" s="188">
        <f t="shared" ref="F74:O74" si="23">ROUND(F73/160.33,2)</f>
        <v>171.53</v>
      </c>
      <c r="G74" s="188">
        <f t="shared" si="23"/>
        <v>141.08000000000001</v>
      </c>
      <c r="H74" s="188">
        <f t="shared" si="23"/>
        <v>173.97</v>
      </c>
      <c r="I74" s="188">
        <f t="shared" si="23"/>
        <v>143.94</v>
      </c>
      <c r="J74" s="188">
        <f t="shared" si="23"/>
        <v>177.49</v>
      </c>
      <c r="K74" s="188">
        <f t="shared" si="23"/>
        <v>145.91</v>
      </c>
      <c r="L74" s="188">
        <f t="shared" si="23"/>
        <v>179.92</v>
      </c>
      <c r="M74" s="188">
        <f t="shared" si="23"/>
        <v>0</v>
      </c>
      <c r="N74" s="188">
        <f t="shared" si="23"/>
        <v>0</v>
      </c>
      <c r="O74" s="188">
        <f t="shared" si="23"/>
        <v>160.53</v>
      </c>
    </row>
    <row r="75" spans="1:15">
      <c r="A75" s="2076">
        <v>24</v>
      </c>
      <c r="B75" s="194" t="s">
        <v>96</v>
      </c>
      <c r="C75" s="190">
        <v>266372</v>
      </c>
      <c r="D75" s="183">
        <f>ROUND((C75*(1+'Løntabel gældende fra'!$D$7%)),0)</f>
        <v>328462</v>
      </c>
      <c r="E75" s="191">
        <v>271710</v>
      </c>
      <c r="F75" s="192">
        <f>ROUND((E75*(1+'Løntabel gældende fra'!$D$7%)),0)</f>
        <v>335044</v>
      </c>
      <c r="G75" s="190">
        <v>275406</v>
      </c>
      <c r="H75" s="183">
        <f>ROUND((G75*(1+'Løntabel gældende fra'!$D$7%)),0)</f>
        <v>339602</v>
      </c>
      <c r="I75" s="191">
        <v>280745</v>
      </c>
      <c r="J75" s="192">
        <f>ROUND((I75*(1+'Løntabel gældende fra'!$D$7%)),0)</f>
        <v>346185</v>
      </c>
      <c r="K75" s="190">
        <v>284441</v>
      </c>
      <c r="L75" s="183">
        <f>ROUND((K75*(1+'Løntabel gældende fra'!$D$7%)),0)</f>
        <v>350743</v>
      </c>
      <c r="M75" s="387"/>
      <c r="N75" s="365">
        <v>255037.97</v>
      </c>
      <c r="O75" s="197">
        <f>ROUND(N75*(1+'Løntabel gældende fra'!$D$7%),2)</f>
        <v>314486.05</v>
      </c>
    </row>
    <row r="76" spans="1:15">
      <c r="A76" s="2074"/>
      <c r="B76" s="371" t="s">
        <v>210</v>
      </c>
      <c r="C76" s="374"/>
      <c r="D76" s="381">
        <f>ROUND(D75/12,2)</f>
        <v>27371.83</v>
      </c>
      <c r="E76" s="378">
        <f>E75/12</f>
        <v>22642.5</v>
      </c>
      <c r="F76" s="363">
        <f>ROUND(F75/12,2)</f>
        <v>27920.33</v>
      </c>
      <c r="G76" s="374">
        <f>G75/12</f>
        <v>22950.5</v>
      </c>
      <c r="H76" s="381">
        <f>ROUND(H75/12,2)</f>
        <v>28300.17</v>
      </c>
      <c r="I76" s="378">
        <f>I75/12</f>
        <v>23395.416666666668</v>
      </c>
      <c r="J76" s="363">
        <f>ROUND(J75/12,2)</f>
        <v>28848.75</v>
      </c>
      <c r="K76" s="374">
        <f>K75/12</f>
        <v>23703.416666666668</v>
      </c>
      <c r="L76" s="381">
        <f>ROUND(L75/12,2)</f>
        <v>29228.58</v>
      </c>
      <c r="M76" s="386"/>
      <c r="N76" s="364"/>
      <c r="O76" s="366">
        <f>ROUND(O75/12,2)</f>
        <v>26207.17</v>
      </c>
    </row>
    <row r="77" spans="1:15" ht="15" thickBot="1">
      <c r="A77" s="2075"/>
      <c r="B77" s="372" t="s">
        <v>205</v>
      </c>
      <c r="C77" s="187">
        <f>C75/12</f>
        <v>22197.666666666668</v>
      </c>
      <c r="D77" s="188">
        <f>ROUND(D76/160.33,2)</f>
        <v>170.72</v>
      </c>
      <c r="E77" s="379"/>
      <c r="F77" s="188">
        <f t="shared" ref="F77:O77" si="24">ROUND(F76/160.33,2)</f>
        <v>174.14</v>
      </c>
      <c r="G77" s="188">
        <f t="shared" si="24"/>
        <v>143.15</v>
      </c>
      <c r="H77" s="188">
        <f t="shared" si="24"/>
        <v>176.51</v>
      </c>
      <c r="I77" s="188">
        <f t="shared" si="24"/>
        <v>145.91999999999999</v>
      </c>
      <c r="J77" s="188">
        <f t="shared" si="24"/>
        <v>179.93</v>
      </c>
      <c r="K77" s="188">
        <f t="shared" si="24"/>
        <v>147.84</v>
      </c>
      <c r="L77" s="188">
        <f t="shared" si="24"/>
        <v>182.3</v>
      </c>
      <c r="M77" s="188">
        <f t="shared" si="24"/>
        <v>0</v>
      </c>
      <c r="N77" s="188">
        <f t="shared" si="24"/>
        <v>0</v>
      </c>
      <c r="O77" s="188">
        <f t="shared" si="24"/>
        <v>163.46</v>
      </c>
    </row>
    <row r="78" spans="1:15">
      <c r="A78" s="2073">
        <v>25</v>
      </c>
      <c r="B78" s="193" t="s">
        <v>96</v>
      </c>
      <c r="C78" s="182">
        <v>270701</v>
      </c>
      <c r="D78" s="186">
        <f>ROUND((C78*(1+'Løntabel gældende fra'!$D$7%)),0)</f>
        <v>333800</v>
      </c>
      <c r="E78" s="184">
        <v>275873</v>
      </c>
      <c r="F78" s="185">
        <f>ROUND((E78*(1+'Løntabel gældende fra'!$D$7%)),0)</f>
        <v>340178</v>
      </c>
      <c r="G78" s="182">
        <v>279454</v>
      </c>
      <c r="H78" s="186">
        <f>ROUND((G78*(1+'Løntabel gældende fra'!$D$7%)),0)</f>
        <v>344593</v>
      </c>
      <c r="I78" s="184">
        <v>284626</v>
      </c>
      <c r="J78" s="185">
        <f>ROUND((I78*(1+'Løntabel gældende fra'!$D$7%)),0)</f>
        <v>350971</v>
      </c>
      <c r="K78" s="182">
        <v>288206</v>
      </c>
      <c r="L78" s="186">
        <f>ROUND((K78*(1+'Løntabel gældende fra'!$D$7%)),0)</f>
        <v>355385</v>
      </c>
      <c r="M78" s="388"/>
      <c r="N78" s="367">
        <v>259721.7</v>
      </c>
      <c r="O78" s="368">
        <f>ROUND(N78*(1+'Løntabel gældende fra'!$D$7%),2)</f>
        <v>320261.53000000003</v>
      </c>
    </row>
    <row r="79" spans="1:15">
      <c r="A79" s="2074"/>
      <c r="B79" s="371" t="s">
        <v>210</v>
      </c>
      <c r="C79" s="374"/>
      <c r="D79" s="381">
        <f>ROUND(D78/12,2)</f>
        <v>27816.67</v>
      </c>
      <c r="E79" s="378">
        <f>E78/12</f>
        <v>22989.416666666668</v>
      </c>
      <c r="F79" s="363">
        <f>ROUND(F78/12,2)</f>
        <v>28348.17</v>
      </c>
      <c r="G79" s="374">
        <f>G78/12</f>
        <v>23287.833333333332</v>
      </c>
      <c r="H79" s="381">
        <f>ROUND(H78/12,2)</f>
        <v>28716.080000000002</v>
      </c>
      <c r="I79" s="378">
        <f>I78/12</f>
        <v>23718.833333333332</v>
      </c>
      <c r="J79" s="363">
        <f>ROUND(J78/12,2)</f>
        <v>29247.58</v>
      </c>
      <c r="K79" s="374">
        <f>K78/12</f>
        <v>24017.166666666668</v>
      </c>
      <c r="L79" s="381">
        <f>ROUND(L78/12,2)</f>
        <v>29615.42</v>
      </c>
      <c r="M79" s="386"/>
      <c r="N79" s="364"/>
      <c r="O79" s="366">
        <f>ROUND(O78/12,2)</f>
        <v>26688.46</v>
      </c>
    </row>
    <row r="80" spans="1:15" ht="15" thickBot="1">
      <c r="A80" s="2077"/>
      <c r="B80" s="373" t="s">
        <v>205</v>
      </c>
      <c r="C80" s="377">
        <f>C78/12</f>
        <v>22558.416666666668</v>
      </c>
      <c r="D80" s="188">
        <f>ROUND(D79/160.33,2)</f>
        <v>173.5</v>
      </c>
      <c r="E80" s="380"/>
      <c r="F80" s="188">
        <f t="shared" ref="F80:O80" si="25">ROUND(F79/160.33,2)</f>
        <v>176.81</v>
      </c>
      <c r="G80" s="188">
        <f t="shared" si="25"/>
        <v>145.25</v>
      </c>
      <c r="H80" s="188">
        <f t="shared" si="25"/>
        <v>179.11</v>
      </c>
      <c r="I80" s="188">
        <f t="shared" si="25"/>
        <v>147.94</v>
      </c>
      <c r="J80" s="188">
        <f t="shared" si="25"/>
        <v>182.42</v>
      </c>
      <c r="K80" s="188">
        <f t="shared" si="25"/>
        <v>149.80000000000001</v>
      </c>
      <c r="L80" s="188">
        <f t="shared" si="25"/>
        <v>184.72</v>
      </c>
      <c r="M80" s="188">
        <f t="shared" si="25"/>
        <v>0</v>
      </c>
      <c r="N80" s="188">
        <f t="shared" si="25"/>
        <v>0</v>
      </c>
      <c r="O80" s="188">
        <f t="shared" si="25"/>
        <v>166.46</v>
      </c>
    </row>
    <row r="81" spans="1:15">
      <c r="A81" s="2076">
        <v>26</v>
      </c>
      <c r="B81" s="194" t="s">
        <v>96</v>
      </c>
      <c r="C81" s="190">
        <v>275131</v>
      </c>
      <c r="D81" s="183">
        <f>ROUND((C81*(1+'Løntabel gældende fra'!$D$7%)),0)</f>
        <v>339263</v>
      </c>
      <c r="E81" s="191">
        <v>280123</v>
      </c>
      <c r="F81" s="192">
        <f>ROUND((E81*(1+'Løntabel gældende fra'!$D$7%)),0)</f>
        <v>345418</v>
      </c>
      <c r="G81" s="190">
        <v>283580</v>
      </c>
      <c r="H81" s="183">
        <f>ROUND((G81*(1+'Løntabel gældende fra'!$D$7%)),0)</f>
        <v>349681</v>
      </c>
      <c r="I81" s="191">
        <v>288573</v>
      </c>
      <c r="J81" s="192">
        <f>ROUND((I81*(1+'Løntabel gældende fra'!$D$7%)),0)</f>
        <v>355838</v>
      </c>
      <c r="K81" s="190">
        <v>292029</v>
      </c>
      <c r="L81" s="183">
        <f>ROUND((K81*(1+'Løntabel gældende fra'!$D$7%)),0)</f>
        <v>360099</v>
      </c>
      <c r="M81" s="387"/>
      <c r="N81" s="365">
        <v>264528.59000000003</v>
      </c>
      <c r="O81" s="197">
        <f>ROUND(N81*(1+'Løntabel gældende fra'!$D$7%),2)</f>
        <v>326188.88</v>
      </c>
    </row>
    <row r="82" spans="1:15">
      <c r="A82" s="2074"/>
      <c r="B82" s="371" t="s">
        <v>210</v>
      </c>
      <c r="C82" s="374"/>
      <c r="D82" s="381">
        <f>ROUND(D81/12,2)</f>
        <v>28271.919999999998</v>
      </c>
      <c r="E82" s="378">
        <f>E81/12</f>
        <v>23343.583333333332</v>
      </c>
      <c r="F82" s="363">
        <f>ROUND(F81/12,2)</f>
        <v>28784.83</v>
      </c>
      <c r="G82" s="374">
        <f>G81/12</f>
        <v>23631.666666666668</v>
      </c>
      <c r="H82" s="381">
        <f>ROUND(H81/12,2)</f>
        <v>29140.080000000002</v>
      </c>
      <c r="I82" s="378">
        <f>I81/12</f>
        <v>24047.75</v>
      </c>
      <c r="J82" s="363">
        <f>ROUND(J81/12,2)</f>
        <v>29653.17</v>
      </c>
      <c r="K82" s="374">
        <f>K81/12</f>
        <v>24335.75</v>
      </c>
      <c r="L82" s="381">
        <f>ROUND(L81/12,2)</f>
        <v>30008.25</v>
      </c>
      <c r="M82" s="386"/>
      <c r="N82" s="364"/>
      <c r="O82" s="366">
        <f>ROUND(O81/12,2)</f>
        <v>27182.41</v>
      </c>
    </row>
    <row r="83" spans="1:15" ht="15" thickBot="1">
      <c r="A83" s="2075"/>
      <c r="B83" s="372" t="s">
        <v>205</v>
      </c>
      <c r="C83" s="187">
        <f>C81/12</f>
        <v>22927.583333333332</v>
      </c>
      <c r="D83" s="188">
        <f>ROUND(D82/160.33,2)</f>
        <v>176.34</v>
      </c>
      <c r="E83" s="379"/>
      <c r="F83" s="188">
        <f t="shared" ref="F83:O83" si="26">ROUND(F82/160.33,2)</f>
        <v>179.53</v>
      </c>
      <c r="G83" s="188">
        <f t="shared" si="26"/>
        <v>147.38999999999999</v>
      </c>
      <c r="H83" s="188">
        <f t="shared" si="26"/>
        <v>181.75</v>
      </c>
      <c r="I83" s="188">
        <f t="shared" si="26"/>
        <v>149.99</v>
      </c>
      <c r="J83" s="188">
        <f t="shared" si="26"/>
        <v>184.95</v>
      </c>
      <c r="K83" s="188">
        <f t="shared" si="26"/>
        <v>151.79</v>
      </c>
      <c r="L83" s="188">
        <f t="shared" si="26"/>
        <v>187.17</v>
      </c>
      <c r="M83" s="188">
        <f t="shared" si="26"/>
        <v>0</v>
      </c>
      <c r="N83" s="188">
        <f t="shared" si="26"/>
        <v>0</v>
      </c>
      <c r="O83" s="188">
        <f t="shared" si="26"/>
        <v>169.54</v>
      </c>
    </row>
    <row r="84" spans="1:15">
      <c r="A84" s="2073">
        <v>27</v>
      </c>
      <c r="B84" s="193" t="s">
        <v>96</v>
      </c>
      <c r="C84" s="182">
        <v>279656</v>
      </c>
      <c r="D84" s="186">
        <f>ROUND((C84*(1+'Løntabel gældende fra'!$D$7%)),0)</f>
        <v>344842</v>
      </c>
      <c r="E84" s="184">
        <v>284456</v>
      </c>
      <c r="F84" s="185">
        <f>ROUND((E84*(1+'Løntabel gældende fra'!$D$7%)),0)</f>
        <v>350761</v>
      </c>
      <c r="G84" s="182">
        <v>287782</v>
      </c>
      <c r="H84" s="186">
        <f>ROUND((G84*(1+'Løntabel gældende fra'!$D$7%)),0)</f>
        <v>354863</v>
      </c>
      <c r="I84" s="184">
        <v>292583</v>
      </c>
      <c r="J84" s="185">
        <f>ROUND((I84*(1+'Løntabel gældende fra'!$D$7%)),0)</f>
        <v>360783</v>
      </c>
      <c r="K84" s="182">
        <v>295908</v>
      </c>
      <c r="L84" s="186">
        <f>ROUND((K84*(1+'Løntabel gældende fra'!$D$7%)),0)</f>
        <v>364883</v>
      </c>
      <c r="M84" s="388"/>
      <c r="N84" s="367">
        <v>269459.90000000002</v>
      </c>
      <c r="O84" s="368">
        <f>ROUND(N84*(1+'Løntabel gældende fra'!$D$7%),2)</f>
        <v>332269.65999999997</v>
      </c>
    </row>
    <row r="85" spans="1:15">
      <c r="A85" s="2074"/>
      <c r="B85" s="371" t="s">
        <v>210</v>
      </c>
      <c r="C85" s="374"/>
      <c r="D85" s="381">
        <f>ROUND(D84/12,2)</f>
        <v>28736.83</v>
      </c>
      <c r="E85" s="378">
        <f>E84/12</f>
        <v>23704.666666666668</v>
      </c>
      <c r="F85" s="363">
        <f>ROUND(F84/12,2)</f>
        <v>29230.080000000002</v>
      </c>
      <c r="G85" s="374">
        <f>G84/12</f>
        <v>23981.833333333332</v>
      </c>
      <c r="H85" s="381">
        <f>ROUND(H84/12,2)</f>
        <v>29571.919999999998</v>
      </c>
      <c r="I85" s="378">
        <f>I84/12</f>
        <v>24381.916666666668</v>
      </c>
      <c r="J85" s="363">
        <f>ROUND(J84/12,2)</f>
        <v>30065.25</v>
      </c>
      <c r="K85" s="374">
        <f>K84/12</f>
        <v>24659</v>
      </c>
      <c r="L85" s="381">
        <f>ROUND(L84/12,2)</f>
        <v>30406.92</v>
      </c>
      <c r="M85" s="386"/>
      <c r="N85" s="364"/>
      <c r="O85" s="366">
        <f>ROUND(O84/12,2)</f>
        <v>27689.14</v>
      </c>
    </row>
    <row r="86" spans="1:15" ht="15" thickBot="1">
      <c r="A86" s="2077"/>
      <c r="B86" s="373" t="s">
        <v>205</v>
      </c>
      <c r="C86" s="377">
        <f>C84/12</f>
        <v>23304.666666666668</v>
      </c>
      <c r="D86" s="188">
        <f>ROUND(D85/160.33,2)</f>
        <v>179.24</v>
      </c>
      <c r="E86" s="380"/>
      <c r="F86" s="188">
        <f t="shared" ref="F86:O86" si="27">ROUND(F85/160.33,2)</f>
        <v>182.31</v>
      </c>
      <c r="G86" s="188">
        <f t="shared" si="27"/>
        <v>149.58000000000001</v>
      </c>
      <c r="H86" s="188">
        <f t="shared" si="27"/>
        <v>184.44</v>
      </c>
      <c r="I86" s="188">
        <f t="shared" si="27"/>
        <v>152.07</v>
      </c>
      <c r="J86" s="188">
        <f t="shared" si="27"/>
        <v>187.52</v>
      </c>
      <c r="K86" s="188">
        <f t="shared" si="27"/>
        <v>153.80000000000001</v>
      </c>
      <c r="L86" s="188">
        <f t="shared" si="27"/>
        <v>189.65</v>
      </c>
      <c r="M86" s="188">
        <f t="shared" si="27"/>
        <v>0</v>
      </c>
      <c r="N86" s="188">
        <f t="shared" si="27"/>
        <v>0</v>
      </c>
      <c r="O86" s="188">
        <f t="shared" si="27"/>
        <v>172.7</v>
      </c>
    </row>
    <row r="87" spans="1:15">
      <c r="A87" s="2076">
        <v>28</v>
      </c>
      <c r="B87" s="194" t="s">
        <v>96</v>
      </c>
      <c r="C87" s="190">
        <v>284283</v>
      </c>
      <c r="D87" s="183">
        <f>ROUND((C87*(1+'Løntabel gældende fra'!$D$7%)),0)</f>
        <v>350548</v>
      </c>
      <c r="E87" s="191">
        <v>288881</v>
      </c>
      <c r="F87" s="192">
        <f>ROUND((E87*(1+'Løntabel gældende fra'!$D$7%)),0)</f>
        <v>356218</v>
      </c>
      <c r="G87" s="190">
        <v>292064</v>
      </c>
      <c r="H87" s="183">
        <f>ROUND((G87*(1+'Løntabel gældende fra'!$D$7%)),0)</f>
        <v>360143</v>
      </c>
      <c r="I87" s="191">
        <v>296661</v>
      </c>
      <c r="J87" s="192">
        <f>ROUND((I87*(1+'Løntabel gældende fra'!$D$7%)),0)</f>
        <v>365811</v>
      </c>
      <c r="K87" s="190">
        <v>299845</v>
      </c>
      <c r="L87" s="183">
        <f>ROUND((K87*(1+'Løntabel gældende fra'!$D$7%)),0)</f>
        <v>369737</v>
      </c>
      <c r="M87" s="387"/>
      <c r="N87" s="365">
        <v>274522.23</v>
      </c>
      <c r="O87" s="197">
        <f>ROUND(N87*(1+'Løntabel gældende fra'!$D$7%),2)</f>
        <v>338511.99</v>
      </c>
    </row>
    <row r="88" spans="1:15">
      <c r="A88" s="2074"/>
      <c r="B88" s="371" t="s">
        <v>210</v>
      </c>
      <c r="C88" s="374"/>
      <c r="D88" s="381">
        <f>ROUND(D87/12,2)</f>
        <v>29212.33</v>
      </c>
      <c r="E88" s="378">
        <f>E87/12</f>
        <v>24073.416666666668</v>
      </c>
      <c r="F88" s="363">
        <f>ROUND(F87/12,2)</f>
        <v>29684.83</v>
      </c>
      <c r="G88" s="374">
        <f>G87/12</f>
        <v>24338.666666666668</v>
      </c>
      <c r="H88" s="381">
        <f>ROUND(H87/12,2)</f>
        <v>30011.919999999998</v>
      </c>
      <c r="I88" s="378">
        <f>I87/12</f>
        <v>24721.75</v>
      </c>
      <c r="J88" s="363">
        <f>ROUND(J87/12,2)</f>
        <v>30484.25</v>
      </c>
      <c r="K88" s="374">
        <f>K87/12</f>
        <v>24987.083333333332</v>
      </c>
      <c r="L88" s="381">
        <f>ROUND(L87/12,2)</f>
        <v>30811.42</v>
      </c>
      <c r="M88" s="386"/>
      <c r="N88" s="364"/>
      <c r="O88" s="366">
        <f>ROUND(O87/12,2)</f>
        <v>28209.33</v>
      </c>
    </row>
    <row r="89" spans="1:15" ht="15" thickBot="1">
      <c r="A89" s="2075"/>
      <c r="B89" s="372" t="s">
        <v>205</v>
      </c>
      <c r="C89" s="187">
        <f>C87/12</f>
        <v>23690.25</v>
      </c>
      <c r="D89" s="188">
        <f>ROUND(D88/160.33,2)</f>
        <v>182.2</v>
      </c>
      <c r="E89" s="188">
        <f t="shared" ref="E89:O89" si="28">ROUND(E88/160.33,2)</f>
        <v>150.15</v>
      </c>
      <c r="F89" s="188">
        <f t="shared" si="28"/>
        <v>185.15</v>
      </c>
      <c r="G89" s="188">
        <f t="shared" si="28"/>
        <v>151.80000000000001</v>
      </c>
      <c r="H89" s="188">
        <f t="shared" si="28"/>
        <v>187.19</v>
      </c>
      <c r="I89" s="188">
        <f t="shared" si="28"/>
        <v>154.19</v>
      </c>
      <c r="J89" s="188">
        <f t="shared" si="28"/>
        <v>190.13</v>
      </c>
      <c r="K89" s="188">
        <f t="shared" si="28"/>
        <v>155.85</v>
      </c>
      <c r="L89" s="188">
        <f t="shared" si="28"/>
        <v>192.18</v>
      </c>
      <c r="M89" s="188">
        <f t="shared" si="28"/>
        <v>0</v>
      </c>
      <c r="N89" s="188">
        <f t="shared" si="28"/>
        <v>0</v>
      </c>
      <c r="O89" s="188">
        <f t="shared" si="28"/>
        <v>175.95</v>
      </c>
    </row>
    <row r="90" spans="1:15">
      <c r="A90" s="2073">
        <v>29</v>
      </c>
      <c r="B90" s="193" t="s">
        <v>96</v>
      </c>
      <c r="C90" s="182">
        <v>289014</v>
      </c>
      <c r="D90" s="186">
        <f>ROUND((C90*(1+'Løntabel gældende fra'!$D$7%)),0)</f>
        <v>356382</v>
      </c>
      <c r="E90" s="184">
        <v>293394</v>
      </c>
      <c r="F90" s="185">
        <f>ROUND((E90*(1+'Løntabel gældende fra'!$D$7%)),0)</f>
        <v>361783</v>
      </c>
      <c r="G90" s="182">
        <v>296427</v>
      </c>
      <c r="H90" s="186">
        <f>ROUND((G90*(1+'Løntabel gældende fra'!$D$7%)),0)</f>
        <v>365523</v>
      </c>
      <c r="I90" s="184">
        <v>300807</v>
      </c>
      <c r="J90" s="185">
        <f>ROUND((I90*(1+'Løntabel gældende fra'!$D$7%)),0)</f>
        <v>370924</v>
      </c>
      <c r="K90" s="182">
        <v>303839</v>
      </c>
      <c r="L90" s="186">
        <f>ROUND((K90*(1+'Løntabel gældende fra'!$D$7%)),0)</f>
        <v>374662</v>
      </c>
      <c r="M90" s="388"/>
      <c r="N90" s="367">
        <v>279714.99</v>
      </c>
      <c r="O90" s="368">
        <f>ROUND(N90*(1+'Løntabel gældende fra'!$D$7%),2)</f>
        <v>344915.16</v>
      </c>
    </row>
    <row r="91" spans="1:15">
      <c r="A91" s="2074"/>
      <c r="B91" s="371" t="s">
        <v>210</v>
      </c>
      <c r="C91" s="374"/>
      <c r="D91" s="381">
        <f>ROUND(D90/12,2)</f>
        <v>29698.5</v>
      </c>
      <c r="E91" s="378">
        <f>E90/12</f>
        <v>24449.5</v>
      </c>
      <c r="F91" s="363">
        <f>ROUND(F90/12,2)</f>
        <v>30148.58</v>
      </c>
      <c r="G91" s="374">
        <f>G90/12</f>
        <v>24702.25</v>
      </c>
      <c r="H91" s="381">
        <f>ROUND(H90/12,2)</f>
        <v>30460.25</v>
      </c>
      <c r="I91" s="378">
        <f>I90/12</f>
        <v>25067.25</v>
      </c>
      <c r="J91" s="363">
        <f>ROUND(J90/12,2)</f>
        <v>30910.33</v>
      </c>
      <c r="K91" s="374">
        <f>K90/12</f>
        <v>25319.916666666668</v>
      </c>
      <c r="L91" s="381">
        <f>ROUND(L90/12,2)</f>
        <v>31221.83</v>
      </c>
      <c r="M91" s="386"/>
      <c r="N91" s="364"/>
      <c r="O91" s="366">
        <f>ROUND(O90/12,2)</f>
        <v>28742.93</v>
      </c>
    </row>
    <row r="92" spans="1:15" ht="15" thickBot="1">
      <c r="A92" s="2077"/>
      <c r="B92" s="373" t="s">
        <v>205</v>
      </c>
      <c r="C92" s="377">
        <f>C90/12</f>
        <v>24084.5</v>
      </c>
      <c r="D92" s="188">
        <f>ROUND(D91/160.33,2)</f>
        <v>185.23</v>
      </c>
      <c r="E92" s="380"/>
      <c r="F92" s="188">
        <f t="shared" ref="F92:O92" si="29">ROUND(F91/160.33,2)</f>
        <v>188.04</v>
      </c>
      <c r="G92" s="188">
        <f t="shared" si="29"/>
        <v>154.07</v>
      </c>
      <c r="H92" s="188">
        <f t="shared" si="29"/>
        <v>189.98</v>
      </c>
      <c r="I92" s="188">
        <f t="shared" si="29"/>
        <v>156.35</v>
      </c>
      <c r="J92" s="188">
        <f t="shared" si="29"/>
        <v>192.79</v>
      </c>
      <c r="K92" s="188">
        <f t="shared" si="29"/>
        <v>157.91999999999999</v>
      </c>
      <c r="L92" s="188">
        <f t="shared" si="29"/>
        <v>194.73</v>
      </c>
      <c r="M92" s="188">
        <f t="shared" si="29"/>
        <v>0</v>
      </c>
      <c r="N92" s="188">
        <f t="shared" si="29"/>
        <v>0</v>
      </c>
      <c r="O92" s="188">
        <f t="shared" si="29"/>
        <v>179.27</v>
      </c>
    </row>
    <row r="93" spans="1:15">
      <c r="A93" s="2076">
        <v>30</v>
      </c>
      <c r="B93" s="194" t="s">
        <v>96</v>
      </c>
      <c r="C93" s="190">
        <v>293853</v>
      </c>
      <c r="D93" s="183">
        <f>ROUND((C93*(1+'Løntabel gældende fra'!$D$7%)),0)</f>
        <v>362349</v>
      </c>
      <c r="E93" s="191">
        <v>298001</v>
      </c>
      <c r="F93" s="192">
        <f>ROUND((E93*(1+'Løntabel gældende fra'!$D$7%)),0)</f>
        <v>367464</v>
      </c>
      <c r="G93" s="190">
        <v>300872</v>
      </c>
      <c r="H93" s="183">
        <f>ROUND((G93*(1+'Løntabel gældende fra'!$D$7%)),0)</f>
        <v>371004</v>
      </c>
      <c r="I93" s="191">
        <v>305018</v>
      </c>
      <c r="J93" s="192">
        <f>ROUND((I93*(1+'Løntabel gældende fra'!$D$7%)),0)</f>
        <v>376116</v>
      </c>
      <c r="K93" s="190">
        <v>307890</v>
      </c>
      <c r="L93" s="183">
        <f>ROUND((K93*(1+'Løntabel gældende fra'!$D$7%)),0)</f>
        <v>379658</v>
      </c>
      <c r="M93" s="387"/>
      <c r="N93" s="365">
        <v>285044.74</v>
      </c>
      <c r="O93" s="197">
        <f>ROUND(N93*(1+'Løntabel gældende fra'!$D$7%),2)</f>
        <v>351487.24</v>
      </c>
    </row>
    <row r="94" spans="1:15">
      <c r="A94" s="2074"/>
      <c r="B94" s="371" t="s">
        <v>97</v>
      </c>
      <c r="C94" s="374"/>
      <c r="D94" s="381">
        <f>ROUND(D93/12,2)</f>
        <v>30195.75</v>
      </c>
      <c r="E94" s="378">
        <f>E93/12</f>
        <v>24833.416666666668</v>
      </c>
      <c r="F94" s="363">
        <f>ROUND(F93/12,2)</f>
        <v>30622</v>
      </c>
      <c r="G94" s="374">
        <f>G93/12</f>
        <v>25072.666666666668</v>
      </c>
      <c r="H94" s="381">
        <f>ROUND(H93/12,2)</f>
        <v>30917</v>
      </c>
      <c r="I94" s="378">
        <f>I93/12</f>
        <v>25418.166666666668</v>
      </c>
      <c r="J94" s="363">
        <f>ROUND(J93/12,2)</f>
        <v>31343</v>
      </c>
      <c r="K94" s="374">
        <f>K93/12</f>
        <v>25657.5</v>
      </c>
      <c r="L94" s="381">
        <f>ROUND(L93/12,2)</f>
        <v>31638.17</v>
      </c>
      <c r="M94" s="386"/>
      <c r="N94" s="364"/>
      <c r="O94" s="366">
        <f>ROUND(O93/12,2)</f>
        <v>29290.6</v>
      </c>
    </row>
    <row r="95" spans="1:15" ht="15" thickBot="1">
      <c r="A95" s="2075"/>
      <c r="B95" s="372" t="s">
        <v>205</v>
      </c>
      <c r="C95" s="187">
        <f>C93/12</f>
        <v>24487.75</v>
      </c>
      <c r="D95" s="188">
        <f>ROUND(D94/160.33,2)</f>
        <v>188.33</v>
      </c>
      <c r="E95" s="379"/>
      <c r="F95" s="188">
        <f t="shared" ref="F95:O95" si="30">ROUND(F94/160.33,2)</f>
        <v>190.99</v>
      </c>
      <c r="G95" s="188">
        <f t="shared" si="30"/>
        <v>156.38</v>
      </c>
      <c r="H95" s="188">
        <f t="shared" si="30"/>
        <v>192.83</v>
      </c>
      <c r="I95" s="188">
        <f t="shared" si="30"/>
        <v>158.54</v>
      </c>
      <c r="J95" s="188">
        <f t="shared" si="30"/>
        <v>195.49</v>
      </c>
      <c r="K95" s="188">
        <f t="shared" si="30"/>
        <v>160.03</v>
      </c>
      <c r="L95" s="188">
        <f t="shared" si="30"/>
        <v>197.33</v>
      </c>
      <c r="M95" s="188">
        <f t="shared" si="30"/>
        <v>0</v>
      </c>
      <c r="N95" s="188">
        <f t="shared" si="30"/>
        <v>0</v>
      </c>
      <c r="O95" s="188">
        <f t="shared" si="30"/>
        <v>182.69</v>
      </c>
    </row>
    <row r="96" spans="1:15">
      <c r="A96" s="2073">
        <v>31</v>
      </c>
      <c r="B96" s="193" t="s">
        <v>96</v>
      </c>
      <c r="C96" s="182">
        <v>298795</v>
      </c>
      <c r="D96" s="186">
        <f>ROUND((C96*(1+'Løntabel gældende fra'!$D$7%)),0)</f>
        <v>368443</v>
      </c>
      <c r="E96" s="184">
        <v>302696</v>
      </c>
      <c r="F96" s="185">
        <f>ROUND((E96*(1+'Løntabel gældende fra'!$D$7%)),0)</f>
        <v>373253</v>
      </c>
      <c r="G96" s="182">
        <v>305398</v>
      </c>
      <c r="H96" s="186">
        <f>ROUND((G96*(1+'Løntabel gældende fra'!$D$7%)),0)</f>
        <v>376585</v>
      </c>
      <c r="I96" s="184">
        <v>309299</v>
      </c>
      <c r="J96" s="185">
        <f>ROUND((I96*(1+'Løntabel gældende fra'!$D$7%)),0)</f>
        <v>381395</v>
      </c>
      <c r="K96" s="182">
        <v>312000</v>
      </c>
      <c r="L96" s="186">
        <f>ROUND((K96*(1+'Løntabel gældende fra'!$D$7%)),0)</f>
        <v>384726</v>
      </c>
      <c r="M96" s="388"/>
      <c r="N96" s="367">
        <v>290512.64000000001</v>
      </c>
      <c r="O96" s="368">
        <f>ROUND(N96*(1+'Løntabel gældende fra'!$D$7%),2)</f>
        <v>358229.68</v>
      </c>
    </row>
    <row r="97" spans="1:15">
      <c r="A97" s="2074"/>
      <c r="B97" s="371" t="s">
        <v>210</v>
      </c>
      <c r="C97" s="374"/>
      <c r="D97" s="381">
        <f>ROUND(D96/12,2)</f>
        <v>30703.58</v>
      </c>
      <c r="E97" s="378">
        <f>E96/12</f>
        <v>25224.666666666668</v>
      </c>
      <c r="F97" s="363">
        <f>ROUND(F96/12,2)</f>
        <v>31104.42</v>
      </c>
      <c r="G97" s="374">
        <f>G96/12</f>
        <v>25449.833333333332</v>
      </c>
      <c r="H97" s="381">
        <f>ROUND(H96/12,2)</f>
        <v>31382.080000000002</v>
      </c>
      <c r="I97" s="378">
        <f>I96/12</f>
        <v>25774.916666666668</v>
      </c>
      <c r="J97" s="363">
        <f>ROUND(J96/12,2)</f>
        <v>31782.92</v>
      </c>
      <c r="K97" s="374">
        <f>K96/12</f>
        <v>26000</v>
      </c>
      <c r="L97" s="381">
        <f>ROUND(L96/12,2)</f>
        <v>32060.5</v>
      </c>
      <c r="M97" s="386"/>
      <c r="N97" s="364"/>
      <c r="O97" s="366">
        <f>ROUND(O96/12,2)</f>
        <v>29852.47</v>
      </c>
    </row>
    <row r="98" spans="1:15" ht="15" thickBot="1">
      <c r="A98" s="2077"/>
      <c r="B98" s="373" t="s">
        <v>205</v>
      </c>
      <c r="C98" s="377">
        <f>C96/12</f>
        <v>24899.583333333332</v>
      </c>
      <c r="D98" s="188">
        <f>ROUND(D97/160.33,2)</f>
        <v>191.5</v>
      </c>
      <c r="E98" s="380"/>
      <c r="F98" s="188">
        <f t="shared" ref="F98:O98" si="31">ROUND(F97/160.33,2)</f>
        <v>194</v>
      </c>
      <c r="G98" s="188">
        <f t="shared" si="31"/>
        <v>158.72999999999999</v>
      </c>
      <c r="H98" s="188">
        <f t="shared" si="31"/>
        <v>195.73</v>
      </c>
      <c r="I98" s="188">
        <f t="shared" si="31"/>
        <v>160.76</v>
      </c>
      <c r="J98" s="188">
        <f t="shared" si="31"/>
        <v>198.23</v>
      </c>
      <c r="K98" s="188">
        <f t="shared" si="31"/>
        <v>162.16999999999999</v>
      </c>
      <c r="L98" s="188">
        <f t="shared" si="31"/>
        <v>199.97</v>
      </c>
      <c r="M98" s="188">
        <f t="shared" si="31"/>
        <v>0</v>
      </c>
      <c r="N98" s="188">
        <f t="shared" si="31"/>
        <v>0</v>
      </c>
      <c r="O98" s="188">
        <f t="shared" si="31"/>
        <v>186.19</v>
      </c>
    </row>
    <row r="99" spans="1:15">
      <c r="A99" s="2076">
        <v>32</v>
      </c>
      <c r="B99" s="194" t="s">
        <v>96</v>
      </c>
      <c r="C99" s="190">
        <v>303852</v>
      </c>
      <c r="D99" s="183">
        <f>ROUND((C99*(1+'Løntabel gældende fra'!$D$7%)),0)</f>
        <v>374678</v>
      </c>
      <c r="E99" s="191">
        <v>307490</v>
      </c>
      <c r="F99" s="192">
        <f>ROUND((E99*(1+'Løntabel gældende fra'!$D$7%)),0)</f>
        <v>379164</v>
      </c>
      <c r="G99" s="190">
        <v>310009</v>
      </c>
      <c r="H99" s="183">
        <f>ROUND((G99*(1+'Løntabel gældende fra'!$D$7%)),0)</f>
        <v>382271</v>
      </c>
      <c r="I99" s="191">
        <v>313649</v>
      </c>
      <c r="J99" s="192">
        <f>ROUND((I99*(1+'Løntabel gældende fra'!$D$7%)),0)</f>
        <v>386759</v>
      </c>
      <c r="K99" s="190">
        <v>316167</v>
      </c>
      <c r="L99" s="183">
        <f>ROUND((K99*(1+'Løntabel gældende fra'!$D$7%)),0)</f>
        <v>389864</v>
      </c>
      <c r="M99" s="387"/>
      <c r="N99" s="365">
        <v>296125.21000000002</v>
      </c>
      <c r="O99" s="197">
        <f>ROUND(N99*(1+'Løntabel gældende fra'!$D$7%),2)</f>
        <v>365150.52</v>
      </c>
    </row>
    <row r="100" spans="1:15">
      <c r="A100" s="2074"/>
      <c r="B100" s="371" t="s">
        <v>97</v>
      </c>
      <c r="C100" s="374"/>
      <c r="D100" s="381">
        <f>ROUND(D99/12,2)</f>
        <v>31223.17</v>
      </c>
      <c r="E100" s="378">
        <f>E99/12</f>
        <v>25624.166666666668</v>
      </c>
      <c r="F100" s="363">
        <f>ROUND(F99/12,2)</f>
        <v>31597</v>
      </c>
      <c r="G100" s="374">
        <f>G99/12</f>
        <v>25834.083333333332</v>
      </c>
      <c r="H100" s="381">
        <f>ROUND(H99/12,2)</f>
        <v>31855.919999999998</v>
      </c>
      <c r="I100" s="378">
        <f>I99/12</f>
        <v>26137.416666666668</v>
      </c>
      <c r="J100" s="363">
        <f>ROUND(J99/12,2)</f>
        <v>32229.919999999998</v>
      </c>
      <c r="K100" s="374">
        <f>K99/12</f>
        <v>26347.25</v>
      </c>
      <c r="L100" s="381">
        <f>ROUND(L99/12,2)</f>
        <v>32488.67</v>
      </c>
      <c r="M100" s="386"/>
      <c r="N100" s="364"/>
      <c r="O100" s="366">
        <f>ROUND(O99/12,2)</f>
        <v>30429.21</v>
      </c>
    </row>
    <row r="101" spans="1:15" ht="15" thickBot="1">
      <c r="A101" s="2075"/>
      <c r="B101" s="372" t="s">
        <v>205</v>
      </c>
      <c r="C101" s="187">
        <f>C99/12</f>
        <v>25321</v>
      </c>
      <c r="D101" s="188">
        <f>ROUND(D100/160.33,2)</f>
        <v>194.74</v>
      </c>
      <c r="E101" s="379"/>
      <c r="F101" s="188">
        <f t="shared" ref="F101:O101" si="32">ROUND(F100/160.33,2)</f>
        <v>197.07</v>
      </c>
      <c r="G101" s="188">
        <f t="shared" si="32"/>
        <v>161.13</v>
      </c>
      <c r="H101" s="188">
        <f t="shared" si="32"/>
        <v>198.69</v>
      </c>
      <c r="I101" s="188">
        <f t="shared" si="32"/>
        <v>163.02000000000001</v>
      </c>
      <c r="J101" s="188">
        <f t="shared" si="32"/>
        <v>201.02</v>
      </c>
      <c r="K101" s="188">
        <f t="shared" si="32"/>
        <v>164.33</v>
      </c>
      <c r="L101" s="188">
        <f t="shared" si="32"/>
        <v>202.64</v>
      </c>
      <c r="M101" s="188">
        <f t="shared" si="32"/>
        <v>0</v>
      </c>
      <c r="N101" s="188">
        <f t="shared" si="32"/>
        <v>0</v>
      </c>
      <c r="O101" s="188">
        <f t="shared" si="32"/>
        <v>189.79</v>
      </c>
    </row>
    <row r="102" spans="1:15">
      <c r="A102" s="2073">
        <v>33</v>
      </c>
      <c r="B102" s="193" t="s">
        <v>96</v>
      </c>
      <c r="C102" s="182">
        <v>309016</v>
      </c>
      <c r="D102" s="186">
        <f>ROUND((C102*(1+'Løntabel gældende fra'!$D$7%)),0)</f>
        <v>381046</v>
      </c>
      <c r="E102" s="184">
        <v>312375</v>
      </c>
      <c r="F102" s="185">
        <f>ROUND((E102*(1+'Løntabel gældende fra'!$D$7%)),0)</f>
        <v>385188</v>
      </c>
      <c r="G102" s="182">
        <v>314703</v>
      </c>
      <c r="H102" s="186">
        <f>ROUND((G102*(1+'Løntabel gældende fra'!$D$7%)),0)</f>
        <v>388059</v>
      </c>
      <c r="I102" s="184">
        <v>318063</v>
      </c>
      <c r="J102" s="185">
        <f>ROUND((I102*(1+'Løntabel gældende fra'!$D$7%)),0)</f>
        <v>392202</v>
      </c>
      <c r="K102" s="182">
        <v>320390</v>
      </c>
      <c r="L102" s="186">
        <f>ROUND((K102*(1+'Løntabel gældende fra'!$D$7%)),0)</f>
        <v>395071</v>
      </c>
      <c r="M102" s="388"/>
      <c r="N102" s="367">
        <v>301881.8</v>
      </c>
      <c r="O102" s="368">
        <f>ROUND(N102*(1+'Løntabel gældende fra'!$D$7%),2)</f>
        <v>372248.94</v>
      </c>
    </row>
    <row r="103" spans="1:15">
      <c r="A103" s="2074"/>
      <c r="B103" s="371" t="s">
        <v>210</v>
      </c>
      <c r="C103" s="374"/>
      <c r="D103" s="381">
        <f>ROUND(D102/12,2)</f>
        <v>31753.83</v>
      </c>
      <c r="E103" s="378">
        <f>E102/12</f>
        <v>26031.25</v>
      </c>
      <c r="F103" s="363">
        <f>ROUND(F102/12,2)</f>
        <v>32099</v>
      </c>
      <c r="G103" s="374">
        <f>G102/12</f>
        <v>26225.25</v>
      </c>
      <c r="H103" s="381">
        <f>ROUND(H102/12,2)</f>
        <v>32338.25</v>
      </c>
      <c r="I103" s="378">
        <f>I102/12</f>
        <v>26505.25</v>
      </c>
      <c r="J103" s="363">
        <f>ROUND(J102/12,2)</f>
        <v>32683.5</v>
      </c>
      <c r="K103" s="374">
        <f>K102/12</f>
        <v>26699.166666666668</v>
      </c>
      <c r="L103" s="381">
        <f>ROUND(L102/12,2)</f>
        <v>32922.58</v>
      </c>
      <c r="M103" s="386"/>
      <c r="N103" s="364"/>
      <c r="O103" s="366">
        <f>ROUND(O102/12,2)</f>
        <v>31020.75</v>
      </c>
    </row>
    <row r="104" spans="1:15" ht="15" thickBot="1">
      <c r="A104" s="2077"/>
      <c r="B104" s="373" t="s">
        <v>205</v>
      </c>
      <c r="C104" s="377">
        <f>C102/12</f>
        <v>25751.333333333332</v>
      </c>
      <c r="D104" s="188">
        <f>ROUND(D103/160.33,2)</f>
        <v>198.05</v>
      </c>
      <c r="E104" s="380"/>
      <c r="F104" s="188">
        <f t="shared" ref="F104:O104" si="33">ROUND(F103/160.33,2)</f>
        <v>200.21</v>
      </c>
      <c r="G104" s="188">
        <f t="shared" si="33"/>
        <v>163.57</v>
      </c>
      <c r="H104" s="188">
        <f t="shared" si="33"/>
        <v>201.7</v>
      </c>
      <c r="I104" s="188">
        <f t="shared" si="33"/>
        <v>165.32</v>
      </c>
      <c r="J104" s="188">
        <f t="shared" si="33"/>
        <v>203.85</v>
      </c>
      <c r="K104" s="188">
        <f t="shared" si="33"/>
        <v>166.53</v>
      </c>
      <c r="L104" s="188">
        <f t="shared" si="33"/>
        <v>205.34</v>
      </c>
      <c r="M104" s="188">
        <f t="shared" si="33"/>
        <v>0</v>
      </c>
      <c r="N104" s="188">
        <f t="shared" si="33"/>
        <v>0</v>
      </c>
      <c r="O104" s="188">
        <f t="shared" si="33"/>
        <v>193.48</v>
      </c>
    </row>
    <row r="105" spans="1:15">
      <c r="A105" s="2076">
        <v>34</v>
      </c>
      <c r="B105" s="194" t="s">
        <v>96</v>
      </c>
      <c r="C105" s="190">
        <v>314298</v>
      </c>
      <c r="D105" s="183">
        <f>ROUND((C105*(1+'Løntabel gældende fra'!$D$7%)),0)</f>
        <v>387559</v>
      </c>
      <c r="E105" s="191">
        <v>317363</v>
      </c>
      <c r="F105" s="192">
        <f>ROUND((E105*(1+'Løntabel gældende fra'!$D$7%)),0)</f>
        <v>391339</v>
      </c>
      <c r="G105" s="190">
        <v>319485</v>
      </c>
      <c r="H105" s="183">
        <f>ROUND((G105*(1+'Løntabel gældende fra'!$D$7%)),0)</f>
        <v>393955</v>
      </c>
      <c r="I105" s="191">
        <v>322548</v>
      </c>
      <c r="J105" s="192">
        <f>ROUND((I105*(1+'Løntabel gældende fra'!$D$7%)),0)</f>
        <v>397732</v>
      </c>
      <c r="K105" s="190">
        <v>324670</v>
      </c>
      <c r="L105" s="183">
        <f>ROUND((K105*(1+'Løntabel gældende fra'!$D$7%)),0)</f>
        <v>400349</v>
      </c>
      <c r="M105" s="387"/>
      <c r="N105" s="365">
        <v>307790.62</v>
      </c>
      <c r="O105" s="197">
        <f>ROUND(N105*(1+'Løntabel gældende fra'!$D$7%),2)</f>
        <v>379535.07</v>
      </c>
    </row>
    <row r="106" spans="1:15">
      <c r="A106" s="2074"/>
      <c r="B106" s="371" t="s">
        <v>210</v>
      </c>
      <c r="C106" s="374"/>
      <c r="D106" s="381">
        <f>ROUND(D105/12,2)</f>
        <v>32296.58</v>
      </c>
      <c r="E106" s="378">
        <f>E105/12</f>
        <v>26446.916666666668</v>
      </c>
      <c r="F106" s="363">
        <f>ROUND(F105/12,2)</f>
        <v>32611.58</v>
      </c>
      <c r="G106" s="374">
        <f>G105/12</f>
        <v>26623.75</v>
      </c>
      <c r="H106" s="381">
        <f>ROUND(H105/12,2)</f>
        <v>32829.58</v>
      </c>
      <c r="I106" s="378">
        <f>I105/12</f>
        <v>26879</v>
      </c>
      <c r="J106" s="363">
        <f>ROUND(J105/12,2)</f>
        <v>33144.33</v>
      </c>
      <c r="K106" s="374">
        <f>K105/12</f>
        <v>27055.833333333332</v>
      </c>
      <c r="L106" s="381">
        <f>ROUND(L105/12,2)</f>
        <v>33362.42</v>
      </c>
      <c r="M106" s="386"/>
      <c r="N106" s="364"/>
      <c r="O106" s="366">
        <f>ROUND(O105/12,2)</f>
        <v>31627.919999999998</v>
      </c>
    </row>
    <row r="107" spans="1:15" ht="15" thickBot="1">
      <c r="A107" s="2075"/>
      <c r="B107" s="372" t="s">
        <v>205</v>
      </c>
      <c r="C107" s="187">
        <f>C105/12</f>
        <v>26191.5</v>
      </c>
      <c r="D107" s="188">
        <f>ROUND(D106/160.33,2)</f>
        <v>201.44</v>
      </c>
      <c r="E107" s="379"/>
      <c r="F107" s="188">
        <f t="shared" ref="F107:O107" si="34">ROUND(F106/160.33,2)</f>
        <v>203.4</v>
      </c>
      <c r="G107" s="188">
        <f t="shared" si="34"/>
        <v>166.06</v>
      </c>
      <c r="H107" s="188">
        <f t="shared" si="34"/>
        <v>204.76</v>
      </c>
      <c r="I107" s="188">
        <f t="shared" si="34"/>
        <v>167.65</v>
      </c>
      <c r="J107" s="188">
        <f t="shared" si="34"/>
        <v>206.73</v>
      </c>
      <c r="K107" s="188">
        <f t="shared" si="34"/>
        <v>168.75</v>
      </c>
      <c r="L107" s="188">
        <f t="shared" si="34"/>
        <v>208.09</v>
      </c>
      <c r="M107" s="188">
        <f t="shared" si="34"/>
        <v>0</v>
      </c>
      <c r="N107" s="188">
        <f t="shared" si="34"/>
        <v>0</v>
      </c>
      <c r="O107" s="188">
        <f t="shared" si="34"/>
        <v>197.27</v>
      </c>
    </row>
    <row r="108" spans="1:15">
      <c r="A108" s="2073">
        <v>35</v>
      </c>
      <c r="B108" s="193" t="s">
        <v>96</v>
      </c>
      <c r="C108" s="182">
        <v>319697</v>
      </c>
      <c r="D108" s="186">
        <f>ROUND((C108*(1+'Løntabel gældende fra'!$D$7%)),0)</f>
        <v>394217</v>
      </c>
      <c r="E108" s="184">
        <v>322450</v>
      </c>
      <c r="F108" s="185">
        <f>ROUND((E108*(1+'Løntabel gældende fra'!$D$7%)),0)</f>
        <v>397611</v>
      </c>
      <c r="G108" s="182">
        <v>324354</v>
      </c>
      <c r="H108" s="186">
        <f>ROUND((G108*(1+'Løntabel gældende fra'!$D$7%)),0)</f>
        <v>399959</v>
      </c>
      <c r="I108" s="184">
        <v>327107</v>
      </c>
      <c r="J108" s="185">
        <f>ROUND((I108*(1+'Løntabel gældende fra'!$D$7%)),0)</f>
        <v>403354</v>
      </c>
      <c r="K108" s="182">
        <v>329011</v>
      </c>
      <c r="L108" s="186">
        <f>ROUND((K108*(1+'Løntabel gældende fra'!$D$7%)),0)</f>
        <v>405702</v>
      </c>
      <c r="M108" s="388"/>
      <c r="N108" s="367">
        <v>313854.56</v>
      </c>
      <c r="O108" s="368">
        <f>ROUND(N108*(1+'Løntabel gældende fra'!$D$7%),2)</f>
        <v>387012.49</v>
      </c>
    </row>
    <row r="109" spans="1:15">
      <c r="A109" s="2074"/>
      <c r="B109" s="371" t="s">
        <v>210</v>
      </c>
      <c r="C109" s="374"/>
      <c r="D109" s="381">
        <f>ROUND(D108/12,2)</f>
        <v>32851.42</v>
      </c>
      <c r="E109" s="378">
        <f>E108/12</f>
        <v>26870.833333333332</v>
      </c>
      <c r="F109" s="363">
        <f>ROUND(F108/12,2)</f>
        <v>33134.25</v>
      </c>
      <c r="G109" s="374">
        <f>G108/12</f>
        <v>27029.5</v>
      </c>
      <c r="H109" s="381">
        <f>ROUND(H108/12,2)</f>
        <v>33329.919999999998</v>
      </c>
      <c r="I109" s="378">
        <f>I108/12</f>
        <v>27258.916666666668</v>
      </c>
      <c r="J109" s="363">
        <f>ROUND(J108/12,2)</f>
        <v>33612.83</v>
      </c>
      <c r="K109" s="374">
        <f>K108/12</f>
        <v>27417.583333333332</v>
      </c>
      <c r="L109" s="381">
        <f>ROUND(L108/12,2)</f>
        <v>33808.5</v>
      </c>
      <c r="M109" s="386"/>
      <c r="N109" s="364"/>
      <c r="O109" s="366">
        <f>ROUND(O108/12,2)</f>
        <v>32251.040000000001</v>
      </c>
    </row>
    <row r="110" spans="1:15" ht="15" thickBot="1">
      <c r="A110" s="2077"/>
      <c r="B110" s="373" t="s">
        <v>205</v>
      </c>
      <c r="C110" s="377">
        <f>C108/12</f>
        <v>26641.416666666668</v>
      </c>
      <c r="D110" s="188">
        <f>ROUND(D109/160.33,2)</f>
        <v>204.9</v>
      </c>
      <c r="E110" s="380"/>
      <c r="F110" s="188">
        <f t="shared" ref="F110:O110" si="35">ROUND(F109/160.33,2)</f>
        <v>206.66</v>
      </c>
      <c r="G110" s="188">
        <f t="shared" si="35"/>
        <v>168.59</v>
      </c>
      <c r="H110" s="188">
        <f t="shared" si="35"/>
        <v>207.88</v>
      </c>
      <c r="I110" s="188">
        <f t="shared" si="35"/>
        <v>170.02</v>
      </c>
      <c r="J110" s="188">
        <f t="shared" si="35"/>
        <v>209.65</v>
      </c>
      <c r="K110" s="188">
        <f t="shared" si="35"/>
        <v>171.01</v>
      </c>
      <c r="L110" s="188">
        <f t="shared" si="35"/>
        <v>210.87</v>
      </c>
      <c r="M110" s="188">
        <f t="shared" si="35"/>
        <v>0</v>
      </c>
      <c r="N110" s="188">
        <f t="shared" si="35"/>
        <v>0</v>
      </c>
      <c r="O110" s="188">
        <f t="shared" si="35"/>
        <v>201.15</v>
      </c>
    </row>
    <row r="111" spans="1:15">
      <c r="A111" s="2076">
        <v>36</v>
      </c>
      <c r="B111" s="194" t="s">
        <v>96</v>
      </c>
      <c r="C111" s="190">
        <v>325214</v>
      </c>
      <c r="D111" s="183">
        <f>ROUND((C111*(1+'Løntabel gældende fra'!$D$7%)),0)</f>
        <v>401020</v>
      </c>
      <c r="E111" s="191">
        <v>327634</v>
      </c>
      <c r="F111" s="192">
        <f>ROUND((E111*(1+'Løntabel gældende fra'!$D$7%)),0)</f>
        <v>404004</v>
      </c>
      <c r="G111" s="190">
        <v>329310</v>
      </c>
      <c r="H111" s="183">
        <f>ROUND((G111*(1+'Løntabel gældende fra'!$D$7%)),0)</f>
        <v>406071</v>
      </c>
      <c r="I111" s="191">
        <v>331731</v>
      </c>
      <c r="J111" s="192">
        <f>ROUND((I111*(1+'Løntabel gældende fra'!$D$7%)),0)</f>
        <v>409056</v>
      </c>
      <c r="K111" s="190">
        <v>333406</v>
      </c>
      <c r="L111" s="183">
        <f>ROUND((K111*(1+'Løntabel gældende fra'!$D$7%)),0)</f>
        <v>411121</v>
      </c>
      <c r="M111" s="387"/>
      <c r="N111" s="365">
        <v>320074.68</v>
      </c>
      <c r="O111" s="197">
        <f>ROUND(N111*(1+'Løntabel gældende fra'!$D$7%),2)</f>
        <v>394682.49</v>
      </c>
    </row>
    <row r="112" spans="1:15">
      <c r="A112" s="2074"/>
      <c r="B112" s="371" t="s">
        <v>210</v>
      </c>
      <c r="C112" s="374"/>
      <c r="D112" s="381">
        <f>ROUND(D111/12,2)</f>
        <v>33418.33</v>
      </c>
      <c r="E112" s="378">
        <f>E111/12</f>
        <v>27302.833333333332</v>
      </c>
      <c r="F112" s="363">
        <f>ROUND(F111/12,2)</f>
        <v>33667</v>
      </c>
      <c r="G112" s="374">
        <f>G111/12</f>
        <v>27442.5</v>
      </c>
      <c r="H112" s="381">
        <f>ROUND(H111/12,2)</f>
        <v>33839.25</v>
      </c>
      <c r="I112" s="378">
        <f>I111/12</f>
        <v>27644.25</v>
      </c>
      <c r="J112" s="363">
        <f>ROUND(J111/12,2)</f>
        <v>34088</v>
      </c>
      <c r="K112" s="374">
        <f>K111/12</f>
        <v>27783.833333333332</v>
      </c>
      <c r="L112" s="381">
        <f>ROUND(L111/12,2)</f>
        <v>34260.080000000002</v>
      </c>
      <c r="M112" s="386"/>
      <c r="N112" s="364"/>
      <c r="O112" s="366">
        <f>ROUND(O111/12,2)</f>
        <v>32890.21</v>
      </c>
    </row>
    <row r="113" spans="1:15" ht="15" thickBot="1">
      <c r="A113" s="2075"/>
      <c r="B113" s="372" t="s">
        <v>205</v>
      </c>
      <c r="C113" s="187">
        <f>C111/12</f>
        <v>27101.166666666668</v>
      </c>
      <c r="D113" s="188">
        <f>ROUND(D112/160.33,2)</f>
        <v>208.43</v>
      </c>
      <c r="E113" s="379"/>
      <c r="F113" s="188">
        <f t="shared" ref="F113:O113" si="36">ROUND(F112/160.33,2)</f>
        <v>209.99</v>
      </c>
      <c r="G113" s="188">
        <f t="shared" si="36"/>
        <v>171.16</v>
      </c>
      <c r="H113" s="188">
        <f t="shared" si="36"/>
        <v>211.06</v>
      </c>
      <c r="I113" s="188">
        <f t="shared" si="36"/>
        <v>172.42</v>
      </c>
      <c r="J113" s="188">
        <f t="shared" si="36"/>
        <v>212.61</v>
      </c>
      <c r="K113" s="188">
        <f t="shared" si="36"/>
        <v>173.29</v>
      </c>
      <c r="L113" s="188">
        <f t="shared" si="36"/>
        <v>213.68</v>
      </c>
      <c r="M113" s="188">
        <f t="shared" si="36"/>
        <v>0</v>
      </c>
      <c r="N113" s="188">
        <f t="shared" si="36"/>
        <v>0</v>
      </c>
      <c r="O113" s="188">
        <f t="shared" si="36"/>
        <v>205.14</v>
      </c>
    </row>
    <row r="114" spans="1:15">
      <c r="A114" s="2073">
        <v>37</v>
      </c>
      <c r="B114" s="193" t="s">
        <v>96</v>
      </c>
      <c r="C114" s="182">
        <v>330853</v>
      </c>
      <c r="D114" s="186">
        <f>ROUND((C114*(1+'Løntabel gældende fra'!$D$7%)),0)</f>
        <v>407973</v>
      </c>
      <c r="E114" s="184">
        <v>332923</v>
      </c>
      <c r="F114" s="185">
        <f>ROUND((E114*(1+'Løntabel gældende fra'!$D$7%)),0)</f>
        <v>410526</v>
      </c>
      <c r="G114" s="182">
        <v>334355</v>
      </c>
      <c r="H114" s="186">
        <f>ROUND((G114*(1+'Løntabel gældende fra'!$D$7%)),0)</f>
        <v>412291</v>
      </c>
      <c r="I114" s="184">
        <v>336425</v>
      </c>
      <c r="J114" s="185">
        <f>ROUND((I114*(1+'Løntabel gældende fra'!$D$7%)),0)</f>
        <v>414844</v>
      </c>
      <c r="K114" s="182">
        <v>337859</v>
      </c>
      <c r="L114" s="186">
        <f>ROUND((K114*(1+'Løntabel gældende fra'!$D$7%)),0)</f>
        <v>416612</v>
      </c>
      <c r="M114" s="388"/>
      <c r="N114" s="367">
        <v>326457.34000000003</v>
      </c>
      <c r="O114" s="368">
        <f>ROUND(N114*(1+'Løntabel gældende fra'!$D$7%),2)</f>
        <v>402552.91</v>
      </c>
    </row>
    <row r="115" spans="1:15">
      <c r="A115" s="2074"/>
      <c r="B115" s="371" t="s">
        <v>210</v>
      </c>
      <c r="C115" s="374"/>
      <c r="D115" s="381">
        <f>ROUND(D114/12,2)</f>
        <v>33997.75</v>
      </c>
      <c r="E115" s="378">
        <f>E114/12</f>
        <v>27743.583333333332</v>
      </c>
      <c r="F115" s="363">
        <f>ROUND(F114/12,2)</f>
        <v>34210.5</v>
      </c>
      <c r="G115" s="374">
        <f>G114/12</f>
        <v>27862.916666666668</v>
      </c>
      <c r="H115" s="381">
        <f>ROUND(H114/12,2)</f>
        <v>34357.58</v>
      </c>
      <c r="I115" s="378">
        <f>I114/12</f>
        <v>28035.416666666668</v>
      </c>
      <c r="J115" s="363">
        <f>ROUND(J114/12,2)</f>
        <v>34570.33</v>
      </c>
      <c r="K115" s="374">
        <f>K114/12</f>
        <v>28154.916666666668</v>
      </c>
      <c r="L115" s="381">
        <f>ROUND(L114/12,2)</f>
        <v>34717.67</v>
      </c>
      <c r="M115" s="386"/>
      <c r="N115" s="364"/>
      <c r="O115" s="366">
        <f>ROUND(O114/12,2)</f>
        <v>33546.080000000002</v>
      </c>
    </row>
    <row r="116" spans="1:15" ht="15" thickBot="1">
      <c r="A116" s="2077"/>
      <c r="B116" s="373" t="s">
        <v>205</v>
      </c>
      <c r="C116" s="377">
        <f>C114/12</f>
        <v>27571.083333333332</v>
      </c>
      <c r="D116" s="188">
        <f>ROUND(D115/160.33,2)</f>
        <v>212.05</v>
      </c>
      <c r="E116" s="380"/>
      <c r="F116" s="188">
        <f t="shared" ref="F116:O116" si="37">ROUND(F115/160.33,2)</f>
        <v>213.38</v>
      </c>
      <c r="G116" s="188">
        <f t="shared" si="37"/>
        <v>173.78</v>
      </c>
      <c r="H116" s="188">
        <f t="shared" si="37"/>
        <v>214.29</v>
      </c>
      <c r="I116" s="188">
        <f t="shared" si="37"/>
        <v>174.86</v>
      </c>
      <c r="J116" s="188">
        <f t="shared" si="37"/>
        <v>215.62</v>
      </c>
      <c r="K116" s="188">
        <f t="shared" si="37"/>
        <v>175.61</v>
      </c>
      <c r="L116" s="188">
        <f t="shared" si="37"/>
        <v>216.54</v>
      </c>
      <c r="M116" s="188">
        <f t="shared" si="37"/>
        <v>0</v>
      </c>
      <c r="N116" s="188">
        <f t="shared" si="37"/>
        <v>0</v>
      </c>
      <c r="O116" s="188">
        <f t="shared" si="37"/>
        <v>209.23</v>
      </c>
    </row>
    <row r="117" spans="1:15">
      <c r="A117" s="2076">
        <v>38</v>
      </c>
      <c r="B117" s="194" t="s">
        <v>96</v>
      </c>
      <c r="C117" s="190">
        <v>336808</v>
      </c>
      <c r="D117" s="183">
        <f>ROUND((C117*(1+'Løntabel gældende fra'!$D$7%)),0)</f>
        <v>415316</v>
      </c>
      <c r="E117" s="191">
        <v>338540</v>
      </c>
      <c r="F117" s="192">
        <f>ROUND((E117*(1+'Løntabel gældende fra'!$D$7%)),0)</f>
        <v>417452</v>
      </c>
      <c r="G117" s="190">
        <v>339739</v>
      </c>
      <c r="H117" s="183">
        <f>ROUND((G117*(1+'Løntabel gældende fra'!$D$7%)),0)</f>
        <v>418930</v>
      </c>
      <c r="I117" s="191">
        <v>341471</v>
      </c>
      <c r="J117" s="192">
        <f>ROUND((I117*(1+'Løntabel gældende fra'!$D$7%)),0)</f>
        <v>421066</v>
      </c>
      <c r="K117" s="190">
        <v>342672</v>
      </c>
      <c r="L117" s="183">
        <f>ROUND((K117*(1+'Løntabel gældende fra'!$D$7%)),0)</f>
        <v>422547</v>
      </c>
      <c r="M117" s="387"/>
      <c r="N117" s="365">
        <v>333128.88</v>
      </c>
      <c r="O117" s="197">
        <f>ROUND(N117*(1+'Løntabel gældende fra'!$D$7%),2)</f>
        <v>410779.56</v>
      </c>
    </row>
    <row r="118" spans="1:15">
      <c r="A118" s="2074"/>
      <c r="B118" s="371" t="s">
        <v>210</v>
      </c>
      <c r="C118" s="374"/>
      <c r="D118" s="381">
        <f>ROUND(D117/12,2)</f>
        <v>34609.67</v>
      </c>
      <c r="E118" s="378">
        <f>E117/12</f>
        <v>28211.666666666668</v>
      </c>
      <c r="F118" s="363">
        <f>ROUND(F117/12,2)</f>
        <v>34787.67</v>
      </c>
      <c r="G118" s="374">
        <f>G117/12</f>
        <v>28311.583333333332</v>
      </c>
      <c r="H118" s="381">
        <f>ROUND(H117/12,2)</f>
        <v>34910.83</v>
      </c>
      <c r="I118" s="378">
        <f>I117/12</f>
        <v>28455.916666666668</v>
      </c>
      <c r="J118" s="363">
        <f>ROUND(J117/12,2)</f>
        <v>35088.83</v>
      </c>
      <c r="K118" s="374">
        <f>K117/12</f>
        <v>28556</v>
      </c>
      <c r="L118" s="381">
        <f>ROUND(L117/12,2)</f>
        <v>35212.25</v>
      </c>
      <c r="M118" s="386"/>
      <c r="N118" s="364"/>
      <c r="O118" s="366">
        <f>ROUND(O117/12,2)</f>
        <v>34231.629999999997</v>
      </c>
    </row>
    <row r="119" spans="1:15" ht="15" thickBot="1">
      <c r="A119" s="2075"/>
      <c r="B119" s="372" t="s">
        <v>205</v>
      </c>
      <c r="C119" s="187">
        <f>C117/12</f>
        <v>28067.333333333332</v>
      </c>
      <c r="D119" s="188">
        <f>ROUND(D118/160.33,2)</f>
        <v>215.87</v>
      </c>
      <c r="E119" s="379"/>
      <c r="F119" s="188">
        <f t="shared" ref="F119:O119" si="38">ROUND(F118/160.33,2)</f>
        <v>216.98</v>
      </c>
      <c r="G119" s="188">
        <f t="shared" si="38"/>
        <v>176.58</v>
      </c>
      <c r="H119" s="188">
        <f t="shared" si="38"/>
        <v>217.74</v>
      </c>
      <c r="I119" s="188">
        <f t="shared" si="38"/>
        <v>177.48</v>
      </c>
      <c r="J119" s="188">
        <f t="shared" si="38"/>
        <v>218.85</v>
      </c>
      <c r="K119" s="188">
        <f t="shared" si="38"/>
        <v>178.11</v>
      </c>
      <c r="L119" s="188">
        <f t="shared" si="38"/>
        <v>219.62</v>
      </c>
      <c r="M119" s="188">
        <f t="shared" si="38"/>
        <v>0</v>
      </c>
      <c r="N119" s="188">
        <f t="shared" si="38"/>
        <v>0</v>
      </c>
      <c r="O119" s="188">
        <f t="shared" si="38"/>
        <v>213.51</v>
      </c>
    </row>
    <row r="120" spans="1:15">
      <c r="A120" s="2073">
        <v>39</v>
      </c>
      <c r="B120" s="193" t="s">
        <v>96</v>
      </c>
      <c r="C120" s="182">
        <v>342821</v>
      </c>
      <c r="D120" s="186">
        <f>ROUND((C120*(1+'Løntabel gældende fra'!$D$7%)),0)</f>
        <v>422731</v>
      </c>
      <c r="E120" s="184">
        <v>344156</v>
      </c>
      <c r="F120" s="185">
        <f>ROUND((E120*(1+'Løntabel gældende fra'!$D$7%)),0)</f>
        <v>424377</v>
      </c>
      <c r="G120" s="182">
        <v>345080</v>
      </c>
      <c r="H120" s="186">
        <f>ROUND((G120*(1+'Løntabel gældende fra'!$D$7%)),0)</f>
        <v>425516</v>
      </c>
      <c r="I120" s="184">
        <v>346413</v>
      </c>
      <c r="J120" s="185">
        <f>ROUND((I120*(1+'Løntabel gældende fra'!$D$7%)),0)</f>
        <v>427160</v>
      </c>
      <c r="K120" s="182">
        <v>347337</v>
      </c>
      <c r="L120" s="186">
        <f>ROUND((K120*(1+'Løntabel gældende fra'!$D$7%)),0)</f>
        <v>428300</v>
      </c>
      <c r="M120" s="388"/>
      <c r="N120" s="367">
        <v>339989.41</v>
      </c>
      <c r="O120" s="368">
        <f>ROUND(N120*(1+'Løntabel gældende fra'!$D$7%),2)</f>
        <v>419239.24</v>
      </c>
    </row>
    <row r="121" spans="1:15">
      <c r="A121" s="2074"/>
      <c r="B121" s="371" t="s">
        <v>210</v>
      </c>
      <c r="C121" s="374"/>
      <c r="D121" s="381">
        <f>ROUND(D120/12,2)</f>
        <v>35227.58</v>
      </c>
      <c r="E121" s="378">
        <f>E120/12</f>
        <v>28679.666666666668</v>
      </c>
      <c r="F121" s="363">
        <f>ROUND(F120/12,2)</f>
        <v>35364.75</v>
      </c>
      <c r="G121" s="374">
        <f>G120/12</f>
        <v>28756.666666666668</v>
      </c>
      <c r="H121" s="381">
        <f>ROUND(H120/12,2)</f>
        <v>35459.67</v>
      </c>
      <c r="I121" s="378">
        <f>I120/12</f>
        <v>28867.75</v>
      </c>
      <c r="J121" s="363">
        <f>ROUND(J120/12,2)</f>
        <v>35596.67</v>
      </c>
      <c r="K121" s="374">
        <f>K120/12</f>
        <v>28944.75</v>
      </c>
      <c r="L121" s="381">
        <f>ROUND(L120/12,2)</f>
        <v>35691.67</v>
      </c>
      <c r="M121" s="386"/>
      <c r="N121" s="364"/>
      <c r="O121" s="366">
        <f>ROUND(O120/12,2)</f>
        <v>34936.6</v>
      </c>
    </row>
    <row r="122" spans="1:15" ht="15" thickBot="1">
      <c r="A122" s="2077"/>
      <c r="B122" s="373" t="s">
        <v>205</v>
      </c>
      <c r="C122" s="377">
        <f>C120/12</f>
        <v>28568.416666666668</v>
      </c>
      <c r="D122" s="188">
        <f>ROUND(D121/160.33,2)</f>
        <v>219.72</v>
      </c>
      <c r="E122" s="380"/>
      <c r="F122" s="188">
        <f t="shared" ref="F122:O122" si="39">ROUND(F121/160.33,2)</f>
        <v>220.57</v>
      </c>
      <c r="G122" s="188">
        <f t="shared" si="39"/>
        <v>179.36</v>
      </c>
      <c r="H122" s="188">
        <f t="shared" si="39"/>
        <v>221.17</v>
      </c>
      <c r="I122" s="188">
        <f t="shared" si="39"/>
        <v>180.05</v>
      </c>
      <c r="J122" s="188">
        <f t="shared" si="39"/>
        <v>222.02</v>
      </c>
      <c r="K122" s="188">
        <f t="shared" si="39"/>
        <v>180.53</v>
      </c>
      <c r="L122" s="188">
        <f t="shared" si="39"/>
        <v>222.61</v>
      </c>
      <c r="M122" s="188">
        <f t="shared" si="39"/>
        <v>0</v>
      </c>
      <c r="N122" s="188">
        <f t="shared" si="39"/>
        <v>0</v>
      </c>
      <c r="O122" s="188">
        <f t="shared" si="39"/>
        <v>217.9</v>
      </c>
    </row>
    <row r="123" spans="1:15">
      <c r="A123" s="2076">
        <v>40</v>
      </c>
      <c r="B123" s="194" t="s">
        <v>96</v>
      </c>
      <c r="C123" s="190">
        <v>348966</v>
      </c>
      <c r="D123" s="183">
        <f>ROUND((C123*(1+'Løntabel gældende fra'!$D$7%)),0)</f>
        <v>430308</v>
      </c>
      <c r="E123" s="191">
        <v>349878</v>
      </c>
      <c r="F123" s="192">
        <f>ROUND((E123*(1+'Løntabel gældende fra'!$D$7%)),0)</f>
        <v>431433</v>
      </c>
      <c r="G123" s="190">
        <v>350510</v>
      </c>
      <c r="H123" s="183">
        <f>ROUND((G123*(1+'Løntabel gældende fra'!$D$7%)),0)</f>
        <v>432212</v>
      </c>
      <c r="I123" s="191">
        <v>351422</v>
      </c>
      <c r="J123" s="192">
        <f>ROUND((I123*(1+'Løntabel gældende fra'!$D$7%)),0)</f>
        <v>433337</v>
      </c>
      <c r="K123" s="190">
        <v>352054</v>
      </c>
      <c r="L123" s="183">
        <f>ROUND((K123*(1+'Løntabel gældende fra'!$D$7%)),0)</f>
        <v>434116</v>
      </c>
      <c r="M123" s="387"/>
      <c r="N123" s="365">
        <v>347027.46</v>
      </c>
      <c r="O123" s="197">
        <f>ROUND(N123*(1+'Løntabel gældende fra'!$D$7%),2)</f>
        <v>427917.83</v>
      </c>
    </row>
    <row r="124" spans="1:15">
      <c r="A124" s="2074"/>
      <c r="B124" s="371" t="s">
        <v>210</v>
      </c>
      <c r="C124" s="374"/>
      <c r="D124" s="381">
        <f>ROUND(D123/12,2)</f>
        <v>35859</v>
      </c>
      <c r="E124" s="378">
        <f>E123/12</f>
        <v>29156.5</v>
      </c>
      <c r="F124" s="363">
        <f>ROUND(F123/12,2)</f>
        <v>35952.75</v>
      </c>
      <c r="G124" s="374">
        <f>G123/12</f>
        <v>29209.166666666668</v>
      </c>
      <c r="H124" s="381">
        <f>ROUND(H123/12,2)</f>
        <v>36017.67</v>
      </c>
      <c r="I124" s="378">
        <f>I123/12</f>
        <v>29285.166666666668</v>
      </c>
      <c r="J124" s="363">
        <f>ROUND(J123/12,2)</f>
        <v>36111.42</v>
      </c>
      <c r="K124" s="374">
        <f>K123/12</f>
        <v>29337.833333333332</v>
      </c>
      <c r="L124" s="381">
        <f>ROUND(L123/12,2)</f>
        <v>36176.33</v>
      </c>
      <c r="M124" s="386"/>
      <c r="N124" s="364"/>
      <c r="O124" s="366">
        <f>ROUND(O123/12,2)</f>
        <v>35659.82</v>
      </c>
    </row>
    <row r="125" spans="1:15" ht="15" thickBot="1">
      <c r="A125" s="2075"/>
      <c r="B125" s="372" t="s">
        <v>205</v>
      </c>
      <c r="C125" s="187">
        <f>C123/12</f>
        <v>29080.5</v>
      </c>
      <c r="D125" s="188">
        <f>ROUND(D124/160.33,2)</f>
        <v>223.66</v>
      </c>
      <c r="E125" s="379"/>
      <c r="F125" s="188">
        <f t="shared" ref="F125:O125" si="40">ROUND(F124/160.33,2)</f>
        <v>224.24</v>
      </c>
      <c r="G125" s="188">
        <f t="shared" si="40"/>
        <v>182.18</v>
      </c>
      <c r="H125" s="188">
        <f t="shared" si="40"/>
        <v>224.65</v>
      </c>
      <c r="I125" s="188">
        <f t="shared" si="40"/>
        <v>182.66</v>
      </c>
      <c r="J125" s="188">
        <f t="shared" si="40"/>
        <v>225.23</v>
      </c>
      <c r="K125" s="188">
        <f t="shared" si="40"/>
        <v>182.98</v>
      </c>
      <c r="L125" s="188">
        <f t="shared" si="40"/>
        <v>225.64</v>
      </c>
      <c r="M125" s="188">
        <f t="shared" si="40"/>
        <v>0</v>
      </c>
      <c r="N125" s="188">
        <f t="shared" si="40"/>
        <v>0</v>
      </c>
      <c r="O125" s="188">
        <f t="shared" si="40"/>
        <v>222.42</v>
      </c>
    </row>
    <row r="126" spans="1:15">
      <c r="A126" s="2073">
        <v>41</v>
      </c>
      <c r="B126" s="193" t="s">
        <v>96</v>
      </c>
      <c r="C126" s="182">
        <v>355245</v>
      </c>
      <c r="D126" s="186">
        <f>ROUND((C126*(1+'Løntabel gældende fra'!$D$7%)),0)</f>
        <v>438051</v>
      </c>
      <c r="E126" s="184">
        <v>355712</v>
      </c>
      <c r="F126" s="185">
        <f>ROUND((E126*(1+'Løntabel gældende fra'!$D$7%)),0)</f>
        <v>438627</v>
      </c>
      <c r="G126" s="182">
        <v>356037</v>
      </c>
      <c r="H126" s="186">
        <f>ROUND((G126*(1+'Løntabel gældende fra'!$D$7%)),0)</f>
        <v>439027</v>
      </c>
      <c r="I126" s="184">
        <v>356505</v>
      </c>
      <c r="J126" s="185">
        <f>ROUND((I126*(1+'Løntabel gældende fra'!$D$7%)),0)</f>
        <v>439605</v>
      </c>
      <c r="K126" s="182">
        <v>356828</v>
      </c>
      <c r="L126" s="186">
        <f>ROUND((K126*(1+'Løntabel gældende fra'!$D$7%)),0)</f>
        <v>440003</v>
      </c>
      <c r="M126" s="388"/>
      <c r="N126" s="367">
        <v>354249.23</v>
      </c>
      <c r="O126" s="368">
        <f>ROUND(N126*(1+'Løntabel gældende fra'!$D$7%),2)</f>
        <v>436822.95</v>
      </c>
    </row>
    <row r="127" spans="1:15">
      <c r="A127" s="2074"/>
      <c r="B127" s="371" t="s">
        <v>210</v>
      </c>
      <c r="C127" s="374"/>
      <c r="D127" s="381">
        <f>ROUND(D126/12,2)</f>
        <v>36504.25</v>
      </c>
      <c r="E127" s="378">
        <f>E126/12</f>
        <v>29642.666666666668</v>
      </c>
      <c r="F127" s="363">
        <f>ROUND(F126/12,2)</f>
        <v>36552.25</v>
      </c>
      <c r="G127" s="374">
        <f>G126/12</f>
        <v>29669.75</v>
      </c>
      <c r="H127" s="381">
        <f>ROUND(H126/12,2)</f>
        <v>36585.58</v>
      </c>
      <c r="I127" s="378">
        <f>I126/12</f>
        <v>29708.75</v>
      </c>
      <c r="J127" s="363">
        <f>ROUND(J126/12,2)</f>
        <v>36633.75</v>
      </c>
      <c r="K127" s="374">
        <f>K126/12</f>
        <v>29735.666666666668</v>
      </c>
      <c r="L127" s="381">
        <f>ROUND(L126/12,2)</f>
        <v>36666.92</v>
      </c>
      <c r="M127" s="386"/>
      <c r="N127" s="364"/>
      <c r="O127" s="366">
        <f>ROUND(O126/12,2)</f>
        <v>36401.910000000003</v>
      </c>
    </row>
    <row r="128" spans="1:15" ht="15" thickBot="1">
      <c r="A128" s="2077"/>
      <c r="B128" s="373" t="s">
        <v>205</v>
      </c>
      <c r="C128" s="377">
        <f>C126/12</f>
        <v>29603.75</v>
      </c>
      <c r="D128" s="188">
        <f>ROUND(D127/160.33,2)</f>
        <v>227.68</v>
      </c>
      <c r="E128" s="380"/>
      <c r="F128" s="188">
        <f t="shared" ref="F128:O128" si="41">ROUND(F127/160.33,2)</f>
        <v>227.98</v>
      </c>
      <c r="G128" s="188">
        <f t="shared" si="41"/>
        <v>185.05</v>
      </c>
      <c r="H128" s="188">
        <f t="shared" si="41"/>
        <v>228.19</v>
      </c>
      <c r="I128" s="188">
        <f t="shared" si="41"/>
        <v>185.3</v>
      </c>
      <c r="J128" s="188">
        <f t="shared" si="41"/>
        <v>228.49</v>
      </c>
      <c r="K128" s="188">
        <f t="shared" si="41"/>
        <v>185.47</v>
      </c>
      <c r="L128" s="188">
        <f t="shared" si="41"/>
        <v>228.7</v>
      </c>
      <c r="M128" s="188">
        <f t="shared" si="41"/>
        <v>0</v>
      </c>
      <c r="N128" s="188">
        <f t="shared" si="41"/>
        <v>0</v>
      </c>
      <c r="O128" s="188">
        <f t="shared" si="41"/>
        <v>227.04</v>
      </c>
    </row>
    <row r="129" spans="1:15">
      <c r="A129" s="2076">
        <v>42</v>
      </c>
      <c r="B129" s="194" t="s">
        <v>96</v>
      </c>
      <c r="C129" s="190">
        <v>361660</v>
      </c>
      <c r="D129" s="183">
        <f>ROUND((C129*(1+'Løntabel gældende fra'!$D$7%)),0)</f>
        <v>445961</v>
      </c>
      <c r="E129" s="191">
        <v>361660</v>
      </c>
      <c r="F129" s="192">
        <f>ROUND((E129*(1+'Løntabel gældende fra'!$D$7%)),0)</f>
        <v>445961</v>
      </c>
      <c r="G129" s="190">
        <v>361660</v>
      </c>
      <c r="H129" s="183">
        <f>ROUND((G129*(1+'Løntabel gældende fra'!$D$7%)),0)</f>
        <v>445961</v>
      </c>
      <c r="I129" s="191">
        <v>361660</v>
      </c>
      <c r="J129" s="192">
        <f>ROUND((I129*(1+'Løntabel gældende fra'!$D$7%)),0)</f>
        <v>445961</v>
      </c>
      <c r="K129" s="190">
        <v>361660</v>
      </c>
      <c r="L129" s="183">
        <f>ROUND((K129*(1+'Løntabel gældende fra'!$D$7%)),0)</f>
        <v>445961</v>
      </c>
      <c r="M129" s="387"/>
      <c r="N129" s="365">
        <v>361659.2</v>
      </c>
      <c r="O129" s="197">
        <f>ROUND(N129*(1+'Løntabel gældende fra'!$D$7%),2)</f>
        <v>445960.15</v>
      </c>
    </row>
    <row r="130" spans="1:15">
      <c r="A130" s="2074"/>
      <c r="B130" s="371" t="s">
        <v>210</v>
      </c>
      <c r="C130" s="374"/>
      <c r="D130" s="381">
        <f>ROUND(D129/12,2)</f>
        <v>37163.42</v>
      </c>
      <c r="E130" s="378">
        <f>E129/12</f>
        <v>30138.333333333332</v>
      </c>
      <c r="F130" s="363">
        <f>ROUND(F129/12,2)</f>
        <v>37163.42</v>
      </c>
      <c r="G130" s="374">
        <f>G129/12</f>
        <v>30138.333333333332</v>
      </c>
      <c r="H130" s="381">
        <f>ROUND(H129/12,2)</f>
        <v>37163.42</v>
      </c>
      <c r="I130" s="378">
        <f>I129/12</f>
        <v>30138.333333333332</v>
      </c>
      <c r="J130" s="363">
        <f>ROUND(J129/12,2)</f>
        <v>37163.42</v>
      </c>
      <c r="K130" s="374">
        <f>K129/12</f>
        <v>30138.333333333332</v>
      </c>
      <c r="L130" s="381">
        <f>ROUND(L129/12,2)</f>
        <v>37163.42</v>
      </c>
      <c r="M130" s="386"/>
      <c r="N130" s="364"/>
      <c r="O130" s="366">
        <f>ROUND(O129/12,2)</f>
        <v>37163.35</v>
      </c>
    </row>
    <row r="131" spans="1:15" ht="15" thickBot="1">
      <c r="A131" s="2075"/>
      <c r="B131" s="372" t="s">
        <v>205</v>
      </c>
      <c r="C131" s="187">
        <f>C129/12</f>
        <v>30138.333333333332</v>
      </c>
      <c r="D131" s="188">
        <f>ROUND(D130/160.33,2)</f>
        <v>231.79</v>
      </c>
      <c r="E131" s="379"/>
      <c r="F131" s="188">
        <f t="shared" ref="F131:O131" si="42">ROUND(F130/160.33,2)</f>
        <v>231.79</v>
      </c>
      <c r="G131" s="188">
        <f t="shared" si="42"/>
        <v>187.98</v>
      </c>
      <c r="H131" s="188">
        <f t="shared" si="42"/>
        <v>231.79</v>
      </c>
      <c r="I131" s="188">
        <f t="shared" si="42"/>
        <v>187.98</v>
      </c>
      <c r="J131" s="188">
        <f t="shared" si="42"/>
        <v>231.79</v>
      </c>
      <c r="K131" s="188">
        <f t="shared" si="42"/>
        <v>187.98</v>
      </c>
      <c r="L131" s="188">
        <f t="shared" si="42"/>
        <v>231.79</v>
      </c>
      <c r="M131" s="188">
        <f t="shared" si="42"/>
        <v>0</v>
      </c>
      <c r="N131" s="188">
        <f t="shared" si="42"/>
        <v>0</v>
      </c>
      <c r="O131" s="188">
        <f t="shared" si="42"/>
        <v>231.79</v>
      </c>
    </row>
    <row r="132" spans="1:15">
      <c r="A132" s="2073">
        <v>43</v>
      </c>
      <c r="B132" s="193" t="s">
        <v>96</v>
      </c>
      <c r="C132" s="182">
        <v>369689</v>
      </c>
      <c r="D132" s="186">
        <f>ROUND((C132*(1+'Løntabel gældende fra'!$D$7%)),0)</f>
        <v>455862</v>
      </c>
      <c r="E132" s="184">
        <v>369689</v>
      </c>
      <c r="F132" s="185">
        <f>ROUND((E132*(1+'Løntabel gældende fra'!$D$7%)),0)</f>
        <v>455862</v>
      </c>
      <c r="G132" s="182">
        <v>369689</v>
      </c>
      <c r="H132" s="186">
        <f>ROUND((G132*(1+'Løntabel gældende fra'!$D$7%)),0)</f>
        <v>455862</v>
      </c>
      <c r="I132" s="184">
        <v>369689</v>
      </c>
      <c r="J132" s="185">
        <f>ROUND((I132*(1+'Løntabel gældende fra'!$D$7%)),0)</f>
        <v>455862</v>
      </c>
      <c r="K132" s="182">
        <v>369689</v>
      </c>
      <c r="L132" s="186">
        <f>ROUND((K132*(1+'Løntabel gældende fra'!$D$7%)),0)</f>
        <v>455862</v>
      </c>
      <c r="M132" s="388"/>
      <c r="N132" s="367">
        <v>369688.53</v>
      </c>
      <c r="O132" s="368">
        <f>ROUND(N132*(1+'Løntabel gældende fra'!$D$7%),2)</f>
        <v>455861.08</v>
      </c>
    </row>
    <row r="133" spans="1:15">
      <c r="A133" s="2074"/>
      <c r="B133" s="371" t="s">
        <v>210</v>
      </c>
      <c r="C133" s="374"/>
      <c r="D133" s="381">
        <f>ROUND(D132/12,2)</f>
        <v>37988.5</v>
      </c>
      <c r="E133" s="378">
        <f>E132/12</f>
        <v>30807.416666666668</v>
      </c>
      <c r="F133" s="363">
        <f>ROUND(F132/12,2)</f>
        <v>37988.5</v>
      </c>
      <c r="G133" s="374">
        <f>G132/12</f>
        <v>30807.416666666668</v>
      </c>
      <c r="H133" s="381">
        <f>ROUND(H132/12,2)</f>
        <v>37988.5</v>
      </c>
      <c r="I133" s="378">
        <f>I132/12</f>
        <v>30807.416666666668</v>
      </c>
      <c r="J133" s="363">
        <f>ROUND(J132/12,2)</f>
        <v>37988.5</v>
      </c>
      <c r="K133" s="374">
        <f>K132/12</f>
        <v>30807.416666666668</v>
      </c>
      <c r="L133" s="381">
        <f>ROUND(L132/12,2)</f>
        <v>37988.5</v>
      </c>
      <c r="M133" s="386"/>
      <c r="N133" s="364"/>
      <c r="O133" s="366">
        <f>ROUND(O132/12,2)</f>
        <v>37988.42</v>
      </c>
    </row>
    <row r="134" spans="1:15" ht="15" thickBot="1">
      <c r="A134" s="2077"/>
      <c r="B134" s="373" t="s">
        <v>205</v>
      </c>
      <c r="C134" s="377">
        <f>C132/12</f>
        <v>30807.416666666668</v>
      </c>
      <c r="D134" s="188">
        <f>ROUND(D133/160.33,2)</f>
        <v>236.94</v>
      </c>
      <c r="E134" s="380"/>
      <c r="F134" s="188">
        <f t="shared" ref="F134:O134" si="43">ROUND(F133/160.33,2)</f>
        <v>236.94</v>
      </c>
      <c r="G134" s="188">
        <f t="shared" si="43"/>
        <v>192.15</v>
      </c>
      <c r="H134" s="188">
        <f t="shared" si="43"/>
        <v>236.94</v>
      </c>
      <c r="I134" s="188">
        <f t="shared" si="43"/>
        <v>192.15</v>
      </c>
      <c r="J134" s="188">
        <f t="shared" si="43"/>
        <v>236.94</v>
      </c>
      <c r="K134" s="188">
        <f t="shared" si="43"/>
        <v>192.15</v>
      </c>
      <c r="L134" s="188">
        <f t="shared" si="43"/>
        <v>236.94</v>
      </c>
      <c r="M134" s="188">
        <f t="shared" si="43"/>
        <v>0</v>
      </c>
      <c r="N134" s="188">
        <f t="shared" si="43"/>
        <v>0</v>
      </c>
      <c r="O134" s="188">
        <f t="shared" si="43"/>
        <v>236.94</v>
      </c>
    </row>
    <row r="135" spans="1:15">
      <c r="A135" s="2076">
        <v>44</v>
      </c>
      <c r="B135" s="194" t="s">
        <v>96</v>
      </c>
      <c r="C135" s="190">
        <v>377937</v>
      </c>
      <c r="D135" s="183">
        <f>ROUND((C135*(1+'Løntabel gældende fra'!$D$7%)),0)</f>
        <v>466032</v>
      </c>
      <c r="E135" s="191">
        <v>377937</v>
      </c>
      <c r="F135" s="192">
        <f>ROUND((E135*(1+'Løntabel gældende fra'!$D$7%)),0)</f>
        <v>466032</v>
      </c>
      <c r="G135" s="190">
        <v>377937</v>
      </c>
      <c r="H135" s="183">
        <f>ROUND((G135*(1+'Løntabel gældende fra'!$D$7%)),0)</f>
        <v>466032</v>
      </c>
      <c r="I135" s="191">
        <v>377937</v>
      </c>
      <c r="J135" s="192">
        <f>ROUND((I135*(1+'Løntabel gældende fra'!$D$7%)),0)</f>
        <v>466032</v>
      </c>
      <c r="K135" s="190">
        <v>377937</v>
      </c>
      <c r="L135" s="183">
        <f>ROUND((K135*(1+'Løntabel gældende fra'!$D$7%)),0)</f>
        <v>466032</v>
      </c>
      <c r="M135" s="387"/>
      <c r="N135" s="365">
        <v>377937.3</v>
      </c>
      <c r="O135" s="197">
        <f>ROUND(N135*(1+'Løntabel gældende fra'!$D$7%),2)</f>
        <v>466032.59</v>
      </c>
    </row>
    <row r="136" spans="1:15">
      <c r="A136" s="2074"/>
      <c r="B136" s="371" t="s">
        <v>210</v>
      </c>
      <c r="C136" s="374"/>
      <c r="D136" s="381">
        <f>ROUND(D135/12,2)</f>
        <v>38836</v>
      </c>
      <c r="E136" s="378">
        <f>E135/12</f>
        <v>31494.75</v>
      </c>
      <c r="F136" s="363">
        <f>ROUND(F135/12,2)</f>
        <v>38836</v>
      </c>
      <c r="G136" s="374">
        <f>G135/12</f>
        <v>31494.75</v>
      </c>
      <c r="H136" s="381">
        <f>ROUND(H135/12,2)</f>
        <v>38836</v>
      </c>
      <c r="I136" s="378">
        <f>I135/12</f>
        <v>31494.75</v>
      </c>
      <c r="J136" s="363">
        <f>ROUND(J135/12,2)</f>
        <v>38836</v>
      </c>
      <c r="K136" s="374">
        <f>K135/12</f>
        <v>31494.75</v>
      </c>
      <c r="L136" s="381">
        <f>ROUND(L135/12,2)</f>
        <v>38836</v>
      </c>
      <c r="M136" s="386"/>
      <c r="N136" s="364"/>
      <c r="O136" s="366">
        <f>ROUND(O135/12,2)</f>
        <v>38836.050000000003</v>
      </c>
    </row>
    <row r="137" spans="1:15" ht="15" thickBot="1">
      <c r="A137" s="2075"/>
      <c r="B137" s="372" t="s">
        <v>205</v>
      </c>
      <c r="C137" s="187">
        <f>C135/12</f>
        <v>31494.75</v>
      </c>
      <c r="D137" s="188">
        <f>ROUND(D136/160.33,2)</f>
        <v>242.23</v>
      </c>
      <c r="E137" s="379"/>
      <c r="F137" s="188">
        <f t="shared" ref="F137:O137" si="44">ROUND(F136/160.33,2)</f>
        <v>242.23</v>
      </c>
      <c r="G137" s="188">
        <f t="shared" si="44"/>
        <v>196.44</v>
      </c>
      <c r="H137" s="188">
        <f t="shared" si="44"/>
        <v>242.23</v>
      </c>
      <c r="I137" s="188">
        <f t="shared" si="44"/>
        <v>196.44</v>
      </c>
      <c r="J137" s="188">
        <f t="shared" si="44"/>
        <v>242.23</v>
      </c>
      <c r="K137" s="188">
        <f t="shared" si="44"/>
        <v>196.44</v>
      </c>
      <c r="L137" s="188">
        <f t="shared" si="44"/>
        <v>242.23</v>
      </c>
      <c r="M137" s="188">
        <f t="shared" si="44"/>
        <v>0</v>
      </c>
      <c r="N137" s="188">
        <f t="shared" si="44"/>
        <v>0</v>
      </c>
      <c r="O137" s="188">
        <f t="shared" si="44"/>
        <v>242.23</v>
      </c>
    </row>
    <row r="138" spans="1:15">
      <c r="A138" s="2076">
        <v>45</v>
      </c>
      <c r="B138" s="194" t="s">
        <v>96</v>
      </c>
      <c r="C138" s="190">
        <v>386414</v>
      </c>
      <c r="D138" s="183">
        <f>ROUND((C138*(1+'Løntabel gældende fra'!$D$7%)),0)</f>
        <v>476485</v>
      </c>
      <c r="E138" s="191">
        <v>386414</v>
      </c>
      <c r="F138" s="192">
        <f>ROUND((E138*(1+'Løntabel gældende fra'!$D$7%)),0)</f>
        <v>476485</v>
      </c>
      <c r="G138" s="190">
        <v>386414</v>
      </c>
      <c r="H138" s="183">
        <f>ROUND((G138*(1+'Løntabel gældende fra'!$D$7%)),0)</f>
        <v>476485</v>
      </c>
      <c r="I138" s="191">
        <v>386414</v>
      </c>
      <c r="J138" s="192">
        <f>ROUND((I138*(1+'Løntabel gældende fra'!$D$7%)),0)</f>
        <v>476485</v>
      </c>
      <c r="K138" s="190">
        <v>386414</v>
      </c>
      <c r="L138" s="183">
        <f>ROUND((K138*(1+'Løntabel gældende fra'!$D$7%)),0)</f>
        <v>476485</v>
      </c>
      <c r="M138" s="387"/>
      <c r="N138" s="365">
        <v>386414.29</v>
      </c>
      <c r="O138" s="197">
        <f>ROUND(N138*(1+'Løntabel gældende fra'!$D$7%),2)</f>
        <v>476485.53</v>
      </c>
    </row>
    <row r="139" spans="1:15">
      <c r="A139" s="2074"/>
      <c r="B139" s="371" t="s">
        <v>210</v>
      </c>
      <c r="C139" s="374"/>
      <c r="D139" s="381">
        <f>ROUND(D138/12,2)</f>
        <v>39707.08</v>
      </c>
      <c r="E139" s="378">
        <f>E138/12</f>
        <v>32201.166666666668</v>
      </c>
      <c r="F139" s="363">
        <f>ROUND(F138/12,2)</f>
        <v>39707.08</v>
      </c>
      <c r="G139" s="374">
        <f>G138/12</f>
        <v>32201.166666666668</v>
      </c>
      <c r="H139" s="381">
        <f>ROUND(H138/12,2)</f>
        <v>39707.08</v>
      </c>
      <c r="I139" s="378">
        <f>I138/12</f>
        <v>32201.166666666668</v>
      </c>
      <c r="J139" s="363">
        <f>ROUND(J138/12,2)</f>
        <v>39707.08</v>
      </c>
      <c r="K139" s="374">
        <f>K138/12</f>
        <v>32201.166666666668</v>
      </c>
      <c r="L139" s="381">
        <f>ROUND(L138/12,2)</f>
        <v>39707.08</v>
      </c>
      <c r="M139" s="386"/>
      <c r="N139" s="364"/>
      <c r="O139" s="366">
        <f>ROUND(O138/12,2)</f>
        <v>39707.129999999997</v>
      </c>
    </row>
    <row r="140" spans="1:15" ht="15" thickBot="1">
      <c r="A140" s="2075"/>
      <c r="B140" s="372" t="s">
        <v>205</v>
      </c>
      <c r="C140" s="187">
        <f>C138/12</f>
        <v>32201.166666666668</v>
      </c>
      <c r="D140" s="188">
        <f>ROUND(D139/160.33,2)</f>
        <v>247.66</v>
      </c>
      <c r="E140" s="379"/>
      <c r="F140" s="188">
        <f t="shared" ref="F140:O140" si="45">ROUND(F139/160.33,2)</f>
        <v>247.66</v>
      </c>
      <c r="G140" s="188">
        <f t="shared" si="45"/>
        <v>200.84</v>
      </c>
      <c r="H140" s="188">
        <f t="shared" si="45"/>
        <v>247.66</v>
      </c>
      <c r="I140" s="188">
        <f t="shared" si="45"/>
        <v>200.84</v>
      </c>
      <c r="J140" s="188">
        <f t="shared" si="45"/>
        <v>247.66</v>
      </c>
      <c r="K140" s="188">
        <f t="shared" si="45"/>
        <v>200.84</v>
      </c>
      <c r="L140" s="188">
        <f t="shared" si="45"/>
        <v>247.66</v>
      </c>
      <c r="M140" s="188">
        <f t="shared" si="45"/>
        <v>0</v>
      </c>
      <c r="N140" s="188">
        <f t="shared" si="45"/>
        <v>0</v>
      </c>
      <c r="O140" s="188">
        <f t="shared" si="45"/>
        <v>247.66</v>
      </c>
    </row>
    <row r="141" spans="1:15">
      <c r="A141" s="2076">
        <v>46</v>
      </c>
      <c r="B141" s="194" t="s">
        <v>96</v>
      </c>
      <c r="C141" s="190">
        <v>395125</v>
      </c>
      <c r="D141" s="183">
        <f>ROUND((C141*(1+'Løntabel gældende fra'!$D$7%)),0)</f>
        <v>487227</v>
      </c>
      <c r="E141" s="191">
        <v>395125</v>
      </c>
      <c r="F141" s="192">
        <f>ROUND((E141*(1+'Løntabel gældende fra'!$D$7%)),0)</f>
        <v>487227</v>
      </c>
      <c r="G141" s="190">
        <v>395125</v>
      </c>
      <c r="H141" s="183">
        <f>ROUND((G141*(1+'Løntabel gældende fra'!$D$7%)),0)</f>
        <v>487227</v>
      </c>
      <c r="I141" s="191">
        <v>395125</v>
      </c>
      <c r="J141" s="192">
        <f>ROUND((I141*(1+'Løntabel gældende fra'!$D$7%)),0)</f>
        <v>487227</v>
      </c>
      <c r="K141" s="190">
        <v>395125</v>
      </c>
      <c r="L141" s="183">
        <f>ROUND((K141*(1+'Løntabel gældende fra'!$D$7%)),0)</f>
        <v>487227</v>
      </c>
      <c r="M141" s="387"/>
      <c r="N141" s="365">
        <v>395124.74</v>
      </c>
      <c r="O141" s="197">
        <f>ROUND(N141*(1+'Løntabel gældende fra'!$D$7%),2)</f>
        <v>487226.34</v>
      </c>
    </row>
    <row r="142" spans="1:15">
      <c r="A142" s="2074"/>
      <c r="B142" s="371" t="s">
        <v>97</v>
      </c>
      <c r="C142" s="374"/>
      <c r="D142" s="381">
        <f>ROUND(D141/12,2)</f>
        <v>40602.25</v>
      </c>
      <c r="E142" s="378">
        <f>E141/12</f>
        <v>32927.083333333336</v>
      </c>
      <c r="F142" s="363">
        <f>ROUND(F141/12,2)</f>
        <v>40602.25</v>
      </c>
      <c r="G142" s="374">
        <f>G141/12</f>
        <v>32927.083333333336</v>
      </c>
      <c r="H142" s="381">
        <f>ROUND(H141/12,2)</f>
        <v>40602.25</v>
      </c>
      <c r="I142" s="378">
        <f>I141/12</f>
        <v>32927.083333333336</v>
      </c>
      <c r="J142" s="363">
        <f>ROUND(J141/12,2)</f>
        <v>40602.25</v>
      </c>
      <c r="K142" s="374">
        <f>K141/12</f>
        <v>32927.083333333336</v>
      </c>
      <c r="L142" s="381">
        <f>ROUND(L141/12,2)</f>
        <v>40602.25</v>
      </c>
      <c r="M142" s="386"/>
      <c r="N142" s="364"/>
      <c r="O142" s="366">
        <f>ROUND(O141/12,2)</f>
        <v>40602.199999999997</v>
      </c>
    </row>
    <row r="143" spans="1:15" ht="15" thickBot="1">
      <c r="A143" s="2075"/>
      <c r="B143" s="372" t="s">
        <v>205</v>
      </c>
      <c r="C143" s="187">
        <f>C141/12</f>
        <v>32927.083333333336</v>
      </c>
      <c r="D143" s="188">
        <f>ROUND(D142/160.33,2)</f>
        <v>253.24</v>
      </c>
      <c r="E143" s="379"/>
      <c r="F143" s="188">
        <f t="shared" ref="F143:O143" si="46">ROUND(F142/160.33,2)</f>
        <v>253.24</v>
      </c>
      <c r="G143" s="188">
        <f t="shared" si="46"/>
        <v>205.37</v>
      </c>
      <c r="H143" s="188">
        <f t="shared" si="46"/>
        <v>253.24</v>
      </c>
      <c r="I143" s="188">
        <f t="shared" si="46"/>
        <v>205.37</v>
      </c>
      <c r="J143" s="188">
        <f t="shared" si="46"/>
        <v>253.24</v>
      </c>
      <c r="K143" s="188">
        <f t="shared" si="46"/>
        <v>205.37</v>
      </c>
      <c r="L143" s="188">
        <f t="shared" si="46"/>
        <v>253.24</v>
      </c>
      <c r="M143" s="188">
        <f t="shared" si="46"/>
        <v>0</v>
      </c>
      <c r="N143" s="188">
        <f t="shared" si="46"/>
        <v>0</v>
      </c>
      <c r="O143" s="188">
        <f t="shared" si="46"/>
        <v>253.24</v>
      </c>
    </row>
    <row r="144" spans="1:15">
      <c r="A144" s="2073">
        <v>47</v>
      </c>
      <c r="B144" s="193" t="s">
        <v>96</v>
      </c>
      <c r="C144" s="182">
        <v>413269</v>
      </c>
      <c r="D144" s="186">
        <f>ROUND((C144*(1+'Løntabel gældende fra'!$D$7%)),0)</f>
        <v>509600</v>
      </c>
      <c r="E144" s="184">
        <v>413269</v>
      </c>
      <c r="F144" s="185">
        <f>ROUND((E144*(1+'Løntabel gældende fra'!$D$7%)),0)</f>
        <v>509600</v>
      </c>
      <c r="G144" s="182">
        <v>413269</v>
      </c>
      <c r="H144" s="186">
        <f>ROUND((G144*(1+'Løntabel gældende fra'!$D$7%)),0)</f>
        <v>509600</v>
      </c>
      <c r="I144" s="184">
        <v>413269</v>
      </c>
      <c r="J144" s="185">
        <f>ROUND((I144*(1+'Løntabel gældende fra'!$D$7%)),0)</f>
        <v>509600</v>
      </c>
      <c r="K144" s="182">
        <v>413269</v>
      </c>
      <c r="L144" s="186">
        <f>ROUND((K144*(1+'Løntabel gældende fra'!$D$7%)),0)</f>
        <v>509600</v>
      </c>
      <c r="M144" s="388"/>
      <c r="N144" s="367">
        <v>413268.87</v>
      </c>
      <c r="O144" s="368">
        <f>ROUND(N144*(1+'Løntabel gældende fra'!$D$7%),2)</f>
        <v>509599.78</v>
      </c>
    </row>
    <row r="145" spans="1:15">
      <c r="A145" s="2074"/>
      <c r="B145" s="371" t="s">
        <v>210</v>
      </c>
      <c r="C145" s="374"/>
      <c r="D145" s="381">
        <f>ROUND(D144/12,2)</f>
        <v>42466.67</v>
      </c>
      <c r="E145" s="378">
        <f>E144/12</f>
        <v>34439.083333333336</v>
      </c>
      <c r="F145" s="363">
        <f>ROUND(F144/12,2)</f>
        <v>42466.67</v>
      </c>
      <c r="G145" s="374">
        <f>G144/12</f>
        <v>34439.083333333336</v>
      </c>
      <c r="H145" s="381">
        <f>ROUND(H144/12,2)</f>
        <v>42466.67</v>
      </c>
      <c r="I145" s="378">
        <f>I144/12</f>
        <v>34439.083333333336</v>
      </c>
      <c r="J145" s="363">
        <f>ROUND(J144/12,2)</f>
        <v>42466.67</v>
      </c>
      <c r="K145" s="374">
        <f>K144/12</f>
        <v>34439.083333333336</v>
      </c>
      <c r="L145" s="381">
        <f>ROUND(L144/12,2)</f>
        <v>42466.67</v>
      </c>
      <c r="M145" s="386"/>
      <c r="N145" s="364"/>
      <c r="O145" s="366">
        <f>ROUND(O144/12,2)</f>
        <v>42466.65</v>
      </c>
    </row>
    <row r="146" spans="1:15" ht="15" thickBot="1">
      <c r="A146" s="2077"/>
      <c r="B146" s="373" t="s">
        <v>205</v>
      </c>
      <c r="C146" s="377">
        <f>C144/12</f>
        <v>34439.083333333336</v>
      </c>
      <c r="D146" s="188">
        <f>ROUND(D145/160.33,2)</f>
        <v>264.87</v>
      </c>
      <c r="E146" s="380"/>
      <c r="F146" s="188">
        <f t="shared" ref="F146:O146" si="47">ROUND(F145/160.33,2)</f>
        <v>264.87</v>
      </c>
      <c r="G146" s="188">
        <f t="shared" si="47"/>
        <v>214.8</v>
      </c>
      <c r="H146" s="188">
        <f t="shared" si="47"/>
        <v>264.87</v>
      </c>
      <c r="I146" s="188">
        <f t="shared" si="47"/>
        <v>214.8</v>
      </c>
      <c r="J146" s="188">
        <f t="shared" si="47"/>
        <v>264.87</v>
      </c>
      <c r="K146" s="188">
        <f t="shared" si="47"/>
        <v>214.8</v>
      </c>
      <c r="L146" s="188">
        <f t="shared" si="47"/>
        <v>264.87</v>
      </c>
      <c r="M146" s="188">
        <f t="shared" si="47"/>
        <v>0</v>
      </c>
      <c r="N146" s="188">
        <f t="shared" si="47"/>
        <v>0</v>
      </c>
      <c r="O146" s="188">
        <f t="shared" si="47"/>
        <v>264.87</v>
      </c>
    </row>
    <row r="147" spans="1:15">
      <c r="A147" s="2076">
        <v>48</v>
      </c>
      <c r="B147" s="194" t="s">
        <v>96</v>
      </c>
      <c r="C147" s="190">
        <v>441027</v>
      </c>
      <c r="D147" s="183">
        <f>ROUND((C147*(1+'Løntabel gældende fra'!$D$7%)),0)</f>
        <v>543828</v>
      </c>
      <c r="E147" s="191">
        <v>441027</v>
      </c>
      <c r="F147" s="192">
        <f>ROUND((E147*(1+'Løntabel gældende fra'!$D$7%)),0)</f>
        <v>543828</v>
      </c>
      <c r="G147" s="190">
        <v>441027</v>
      </c>
      <c r="H147" s="183">
        <f>ROUND((G147*(1+'Løntabel gældende fra'!$D$7%)),0)</f>
        <v>543828</v>
      </c>
      <c r="I147" s="191">
        <v>441027</v>
      </c>
      <c r="J147" s="192">
        <f>ROUND((I147*(1+'Løntabel gældende fra'!$D$7%)),0)</f>
        <v>543828</v>
      </c>
      <c r="K147" s="190">
        <v>441027</v>
      </c>
      <c r="L147" s="183">
        <f>ROUND((K147*(1+'Løntabel gældende fra'!$D$7%)),0)</f>
        <v>543828</v>
      </c>
      <c r="M147" s="387"/>
      <c r="N147" s="365">
        <v>441025.75</v>
      </c>
      <c r="O147" s="197">
        <f>ROUND(N147*(1+'Løntabel gældende fra'!$D$7%),2)</f>
        <v>543826.65</v>
      </c>
    </row>
    <row r="148" spans="1:15">
      <c r="A148" s="2074"/>
      <c r="B148" s="371" t="s">
        <v>210</v>
      </c>
      <c r="C148" s="374"/>
      <c r="D148" s="381">
        <f>ROUND(D147/12,2)</f>
        <v>45319</v>
      </c>
      <c r="E148" s="378">
        <f>E147/12</f>
        <v>36752.25</v>
      </c>
      <c r="F148" s="363">
        <f>ROUND(F147/12,2)</f>
        <v>45319</v>
      </c>
      <c r="G148" s="374">
        <f>G147/12</f>
        <v>36752.25</v>
      </c>
      <c r="H148" s="381">
        <f>ROUND(H147/12,2)</f>
        <v>45319</v>
      </c>
      <c r="I148" s="378">
        <f>I147/12</f>
        <v>36752.25</v>
      </c>
      <c r="J148" s="363">
        <f>ROUND(J147/12,2)</f>
        <v>45319</v>
      </c>
      <c r="K148" s="374">
        <f>K147/12</f>
        <v>36752.25</v>
      </c>
      <c r="L148" s="381">
        <f>ROUND(L147/12,2)</f>
        <v>45319</v>
      </c>
      <c r="M148" s="386"/>
      <c r="N148" s="364"/>
      <c r="O148" s="366">
        <f>ROUND(O147/12,2)</f>
        <v>45318.89</v>
      </c>
    </row>
    <row r="149" spans="1:15" ht="15" thickBot="1">
      <c r="A149" s="2075"/>
      <c r="B149" s="372" t="s">
        <v>205</v>
      </c>
      <c r="C149" s="187">
        <f>C147/12</f>
        <v>36752.25</v>
      </c>
      <c r="D149" s="188">
        <f>ROUND(D148/160.33,2)</f>
        <v>282.66000000000003</v>
      </c>
      <c r="E149" s="379"/>
      <c r="F149" s="188">
        <f t="shared" ref="F149:O149" si="48">ROUND(F148/160.33,2)</f>
        <v>282.66000000000003</v>
      </c>
      <c r="G149" s="188">
        <f t="shared" si="48"/>
        <v>229.23</v>
      </c>
      <c r="H149" s="188">
        <f t="shared" si="48"/>
        <v>282.66000000000003</v>
      </c>
      <c r="I149" s="188">
        <f t="shared" si="48"/>
        <v>229.23</v>
      </c>
      <c r="J149" s="188">
        <f t="shared" si="48"/>
        <v>282.66000000000003</v>
      </c>
      <c r="K149" s="188">
        <f t="shared" si="48"/>
        <v>229.23</v>
      </c>
      <c r="L149" s="188">
        <f t="shared" si="48"/>
        <v>282.66000000000003</v>
      </c>
      <c r="M149" s="188">
        <f t="shared" si="48"/>
        <v>0</v>
      </c>
      <c r="N149" s="188">
        <f t="shared" si="48"/>
        <v>0</v>
      </c>
      <c r="O149" s="188">
        <f t="shared" si="48"/>
        <v>282.66000000000003</v>
      </c>
    </row>
    <row r="150" spans="1:15">
      <c r="A150" s="2073">
        <v>49</v>
      </c>
      <c r="B150" s="193" t="s">
        <v>96</v>
      </c>
      <c r="C150" s="182">
        <v>471781</v>
      </c>
      <c r="D150" s="186">
        <f>ROUND((C150*(1+'Løntabel gældende fra'!$D$7%)),0)</f>
        <v>581751</v>
      </c>
      <c r="E150" s="184">
        <v>471781</v>
      </c>
      <c r="F150" s="185">
        <f>ROUND((E150*(1+'Løntabel gældende fra'!$D$7%)),0)</f>
        <v>581751</v>
      </c>
      <c r="G150" s="182">
        <v>471781</v>
      </c>
      <c r="H150" s="186">
        <f>ROUND((G150*(1+'Løntabel gældende fra'!$D$7%)),0)</f>
        <v>581751</v>
      </c>
      <c r="I150" s="184">
        <v>471781</v>
      </c>
      <c r="J150" s="185">
        <f>ROUND((I150*(1+'Løntabel gældende fra'!$D$7%)),0)</f>
        <v>581751</v>
      </c>
      <c r="K150" s="182">
        <v>471781</v>
      </c>
      <c r="L150" s="186">
        <f>ROUND((K150*(1+'Løntabel gældende fra'!$D$7%)),0)</f>
        <v>581751</v>
      </c>
      <c r="M150" s="388"/>
      <c r="N150" s="367">
        <v>471780.9</v>
      </c>
      <c r="O150" s="368">
        <f>ROUND(N150*(1+'Løntabel gældende fra'!$D$7%),2)</f>
        <v>581750.67000000004</v>
      </c>
    </row>
    <row r="151" spans="1:15">
      <c r="A151" s="2074"/>
      <c r="B151" s="371" t="s">
        <v>210</v>
      </c>
      <c r="C151" s="374"/>
      <c r="D151" s="381">
        <f>ROUND(D150/12,2)</f>
        <v>48479.25</v>
      </c>
      <c r="E151" s="378">
        <f>E150/12</f>
        <v>39315.083333333336</v>
      </c>
      <c r="F151" s="363">
        <f>ROUND(F150/12,2)</f>
        <v>48479.25</v>
      </c>
      <c r="G151" s="374">
        <f>G150/12</f>
        <v>39315.083333333336</v>
      </c>
      <c r="H151" s="381">
        <f>ROUND(H150/12,2)</f>
        <v>48479.25</v>
      </c>
      <c r="I151" s="378">
        <f>I150/12</f>
        <v>39315.083333333336</v>
      </c>
      <c r="J151" s="363">
        <f>ROUND(J150/12,2)</f>
        <v>48479.25</v>
      </c>
      <c r="K151" s="374">
        <f>K150/12</f>
        <v>39315.083333333336</v>
      </c>
      <c r="L151" s="381">
        <f>ROUND(L150/12,2)</f>
        <v>48479.25</v>
      </c>
      <c r="M151" s="386"/>
      <c r="N151" s="364"/>
      <c r="O151" s="366">
        <f>ROUND(O150/12,2)</f>
        <v>48479.22</v>
      </c>
    </row>
    <row r="152" spans="1:15" ht="15" thickBot="1">
      <c r="A152" s="2077"/>
      <c r="B152" s="373" t="s">
        <v>205</v>
      </c>
      <c r="C152" s="377">
        <f>C150/12</f>
        <v>39315.083333333336</v>
      </c>
      <c r="D152" s="188">
        <f>ROUND(D151/160.33,2)</f>
        <v>302.37</v>
      </c>
      <c r="E152" s="380"/>
      <c r="F152" s="188">
        <f t="shared" ref="F152:O152" si="49">ROUND(F151/160.33,2)</f>
        <v>302.37</v>
      </c>
      <c r="G152" s="188">
        <f t="shared" si="49"/>
        <v>245.21</v>
      </c>
      <c r="H152" s="188">
        <f t="shared" si="49"/>
        <v>302.37</v>
      </c>
      <c r="I152" s="188">
        <f t="shared" si="49"/>
        <v>245.21</v>
      </c>
      <c r="J152" s="188">
        <f t="shared" si="49"/>
        <v>302.37</v>
      </c>
      <c r="K152" s="188">
        <f t="shared" si="49"/>
        <v>245.21</v>
      </c>
      <c r="L152" s="188">
        <f t="shared" si="49"/>
        <v>302.37</v>
      </c>
      <c r="M152" s="188">
        <f t="shared" si="49"/>
        <v>0</v>
      </c>
      <c r="N152" s="188">
        <f t="shared" si="49"/>
        <v>0</v>
      </c>
      <c r="O152" s="188">
        <f t="shared" si="49"/>
        <v>302.37</v>
      </c>
    </row>
    <row r="153" spans="1:15">
      <c r="A153" s="2076">
        <v>50</v>
      </c>
      <c r="B153" s="194" t="s">
        <v>96</v>
      </c>
      <c r="C153" s="190">
        <v>521094</v>
      </c>
      <c r="D153" s="183">
        <f>ROUND((C153*(1+'Løntabel gældende fra'!$D$7%)),0)</f>
        <v>642558</v>
      </c>
      <c r="E153" s="191">
        <v>521094</v>
      </c>
      <c r="F153" s="192">
        <f>ROUND((E153*(1+'Løntabel gældende fra'!$D$7%)),0)</f>
        <v>642558</v>
      </c>
      <c r="G153" s="383">
        <v>521094</v>
      </c>
      <c r="H153" s="183">
        <f>ROUND((G153*(1+'Løntabel gældende fra'!$D$7%)),0)</f>
        <v>642558</v>
      </c>
      <c r="I153" s="384">
        <v>521094</v>
      </c>
      <c r="J153" s="192">
        <f>ROUND((I153*(1+'Løntabel gældende fra'!$D$7%)),0)</f>
        <v>642558</v>
      </c>
      <c r="K153" s="383">
        <v>521094</v>
      </c>
      <c r="L153" s="183">
        <f>ROUND((K153*(1+'Løntabel gældende fra'!$D$7%)),0)</f>
        <v>642558</v>
      </c>
      <c r="M153" s="387"/>
      <c r="N153" s="365">
        <v>521094.47</v>
      </c>
      <c r="O153" s="197">
        <f>ROUND(N153*(1+'Løntabel gældende fra'!$D$7%),2)</f>
        <v>642558.99</v>
      </c>
    </row>
    <row r="154" spans="1:15">
      <c r="A154" s="2074"/>
      <c r="B154" s="371" t="s">
        <v>210</v>
      </c>
      <c r="C154" s="374"/>
      <c r="D154" s="381">
        <f>ROUND(D153/12,2)</f>
        <v>53546.5</v>
      </c>
      <c r="E154" s="378">
        <f>E153/12</f>
        <v>43424.5</v>
      </c>
      <c r="F154" s="363">
        <f>ROUND(F153/12,2)</f>
        <v>53546.5</v>
      </c>
      <c r="G154" s="374">
        <f>G153/12</f>
        <v>43424.5</v>
      </c>
      <c r="H154" s="381">
        <f>ROUND(H153/12,2)</f>
        <v>53546.5</v>
      </c>
      <c r="I154" s="378">
        <f>I153/12</f>
        <v>43424.5</v>
      </c>
      <c r="J154" s="363">
        <f>ROUND(J153/12,2)</f>
        <v>53546.5</v>
      </c>
      <c r="K154" s="374">
        <f>K153/12</f>
        <v>43424.5</v>
      </c>
      <c r="L154" s="381">
        <f>ROUND(L153/12,2)</f>
        <v>53546.5</v>
      </c>
      <c r="M154" s="386"/>
      <c r="N154" s="364"/>
      <c r="O154" s="366">
        <f>ROUND(O153/12,2)</f>
        <v>53546.58</v>
      </c>
    </row>
    <row r="155" spans="1:15" ht="15" thickBot="1">
      <c r="A155" s="2075"/>
      <c r="B155" s="372" t="s">
        <v>205</v>
      </c>
      <c r="C155" s="187">
        <f>C153/12</f>
        <v>43424.5</v>
      </c>
      <c r="D155" s="188">
        <f>ROUND(D154/160.33,2)</f>
        <v>333.98</v>
      </c>
      <c r="E155" s="379"/>
      <c r="F155" s="188">
        <f t="shared" ref="F155:O155" si="50">ROUND(F154/160.33,2)</f>
        <v>333.98</v>
      </c>
      <c r="G155" s="188">
        <f t="shared" si="50"/>
        <v>270.83999999999997</v>
      </c>
      <c r="H155" s="188">
        <f t="shared" si="50"/>
        <v>333.98</v>
      </c>
      <c r="I155" s="188">
        <f t="shared" si="50"/>
        <v>270.83999999999997</v>
      </c>
      <c r="J155" s="188">
        <f t="shared" si="50"/>
        <v>333.98</v>
      </c>
      <c r="K155" s="188">
        <f t="shared" si="50"/>
        <v>270.83999999999997</v>
      </c>
      <c r="L155" s="188">
        <f t="shared" si="50"/>
        <v>333.98</v>
      </c>
      <c r="M155" s="188">
        <f t="shared" si="50"/>
        <v>0</v>
      </c>
      <c r="N155" s="188">
        <f t="shared" si="50"/>
        <v>0</v>
      </c>
      <c r="O155" s="188">
        <f t="shared" si="50"/>
        <v>333.98</v>
      </c>
    </row>
    <row r="156" spans="1:15">
      <c r="A156" s="2073">
        <v>51</v>
      </c>
      <c r="B156" s="193" t="s">
        <v>96</v>
      </c>
      <c r="C156" s="182">
        <v>592911</v>
      </c>
      <c r="D156" s="186">
        <f>ROUND((C156*(1+'Løntabel gældende fra'!$D$7%)),0)</f>
        <v>731116</v>
      </c>
      <c r="E156" s="184">
        <v>592911</v>
      </c>
      <c r="F156" s="185">
        <f>ROUND((E156*(1+'Løntabel gældende fra'!$D$7%)),0)</f>
        <v>731116</v>
      </c>
      <c r="G156" s="195">
        <v>592911</v>
      </c>
      <c r="H156" s="186">
        <f>ROUND((G156*(1+'Løntabel gældende fra'!$D$7%)),0)</f>
        <v>731116</v>
      </c>
      <c r="I156" s="196">
        <v>592911</v>
      </c>
      <c r="J156" s="185">
        <f>ROUND((I156*(1+'Løntabel gældende fra'!$D$7%)),0)</f>
        <v>731116</v>
      </c>
      <c r="K156" s="195">
        <v>592911</v>
      </c>
      <c r="L156" s="186">
        <f>ROUND((K156*(1+'Løntabel gældende fra'!$D$7%)),0)</f>
        <v>731116</v>
      </c>
      <c r="M156" s="388"/>
      <c r="N156" s="367">
        <v>592911.94999999995</v>
      </c>
      <c r="O156" s="368">
        <f>ROUND(N156*(1+'Løntabel gældende fra'!$D$7%),2)</f>
        <v>731116.76</v>
      </c>
    </row>
    <row r="157" spans="1:15">
      <c r="A157" s="2074"/>
      <c r="B157" s="371" t="s">
        <v>97</v>
      </c>
      <c r="C157" s="374"/>
      <c r="D157" s="381">
        <f>ROUND(D156/12,2)</f>
        <v>60926.33</v>
      </c>
      <c r="E157" s="378">
        <f>E156/12</f>
        <v>49409.25</v>
      </c>
      <c r="F157" s="363">
        <f>ROUND(F156/12,2)</f>
        <v>60926.33</v>
      </c>
      <c r="G157" s="374">
        <f>G156/12</f>
        <v>49409.25</v>
      </c>
      <c r="H157" s="381">
        <f>ROUND(H156/12,2)</f>
        <v>60926.33</v>
      </c>
      <c r="I157" s="378">
        <f>I156/12</f>
        <v>49409.25</v>
      </c>
      <c r="J157" s="363">
        <f>ROUND(J156/12,2)</f>
        <v>60926.33</v>
      </c>
      <c r="K157" s="374">
        <f>K156/12</f>
        <v>49409.25</v>
      </c>
      <c r="L157" s="381">
        <f>ROUND(L156/12,2)</f>
        <v>60926.33</v>
      </c>
      <c r="M157" s="386"/>
      <c r="N157" s="364"/>
      <c r="O157" s="366">
        <f>ROUND(O156/12,2)</f>
        <v>60926.400000000001</v>
      </c>
    </row>
    <row r="158" spans="1:15" ht="15" thickBot="1">
      <c r="A158" s="2075"/>
      <c r="B158" s="372" t="s">
        <v>205</v>
      </c>
      <c r="C158" s="187">
        <f>C156/12</f>
        <v>49409.25</v>
      </c>
      <c r="D158" s="188">
        <f>ROUND(D157/160.33,2)</f>
        <v>380.01</v>
      </c>
      <c r="E158" s="379"/>
      <c r="F158" s="188">
        <f t="shared" ref="F158:O158" si="51">ROUND(F157/160.33,2)</f>
        <v>380.01</v>
      </c>
      <c r="G158" s="188">
        <f t="shared" si="51"/>
        <v>308.17</v>
      </c>
      <c r="H158" s="188">
        <f t="shared" si="51"/>
        <v>380.01</v>
      </c>
      <c r="I158" s="188">
        <f t="shared" si="51"/>
        <v>308.17</v>
      </c>
      <c r="J158" s="188">
        <f t="shared" si="51"/>
        <v>380.01</v>
      </c>
      <c r="K158" s="188">
        <f t="shared" si="51"/>
        <v>308.17</v>
      </c>
      <c r="L158" s="188">
        <f t="shared" si="51"/>
        <v>380.01</v>
      </c>
      <c r="M158" s="188">
        <f t="shared" si="51"/>
        <v>0</v>
      </c>
      <c r="N158" s="188">
        <f t="shared" si="51"/>
        <v>0</v>
      </c>
      <c r="O158" s="188">
        <f t="shared" si="51"/>
        <v>380.01</v>
      </c>
    </row>
  </sheetData>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91"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5"/>
  <sheetViews>
    <sheetView view="pageBreakPreview" zoomScale="125" zoomScaleNormal="125" zoomScalePageLayoutView="125" workbookViewId="0">
      <selection activeCell="D2" sqref="D2"/>
    </sheetView>
  </sheetViews>
  <sheetFormatPr defaultColWidth="11.36328125" defaultRowHeight="14.5"/>
  <cols>
    <col min="2" max="2" width="11.08984375" customWidth="1"/>
    <col min="3" max="3" width="15.36328125" customWidth="1"/>
    <col min="4" max="4" width="11.36328125" customWidth="1"/>
    <col min="6" max="6" width="20" customWidth="1"/>
    <col min="7" max="7" width="16.36328125" customWidth="1"/>
    <col min="8" max="8" width="8.08984375" customWidth="1"/>
  </cols>
  <sheetData>
    <row r="1" spans="1:9">
      <c r="A1" t="s">
        <v>31</v>
      </c>
      <c r="C1" s="5"/>
      <c r="D1" s="580" t="s">
        <v>555</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5.5">
      <c r="A7" s="2090" t="s">
        <v>29</v>
      </c>
      <c r="B7" s="2090"/>
      <c r="C7" s="569">
        <v>45748</v>
      </c>
      <c r="D7" s="28">
        <v>23.3095</v>
      </c>
      <c r="E7" s="27" t="s">
        <v>33</v>
      </c>
      <c r="F7" s="27"/>
      <c r="G7" s="133">
        <v>45961</v>
      </c>
      <c r="H7" s="2"/>
      <c r="I7" s="2"/>
    </row>
    <row r="8" spans="1:9">
      <c r="A8" s="20"/>
      <c r="B8" s="20"/>
      <c r="C8" s="14"/>
      <c r="D8" s="20"/>
      <c r="E8" s="20"/>
      <c r="F8" s="20"/>
      <c r="G8" s="20"/>
      <c r="H8" s="2"/>
      <c r="I8" s="2"/>
    </row>
    <row r="9" spans="1:9" ht="15" thickBot="1">
      <c r="A9" s="21" t="s">
        <v>30</v>
      </c>
      <c r="B9" s="20"/>
      <c r="C9" s="20"/>
      <c r="D9" s="20"/>
      <c r="E9" s="20"/>
      <c r="F9" s="20"/>
      <c r="G9" s="20"/>
      <c r="H9" s="2"/>
      <c r="I9" s="2"/>
    </row>
    <row r="10" spans="1:9">
      <c r="A10" s="22" t="s">
        <v>27</v>
      </c>
      <c r="B10" s="23" t="s">
        <v>28</v>
      </c>
      <c r="C10" s="2091" t="s">
        <v>32</v>
      </c>
      <c r="D10" s="2091"/>
      <c r="E10" s="2091"/>
      <c r="F10" s="2091"/>
      <c r="G10" s="2091"/>
      <c r="H10" s="2"/>
      <c r="I10" s="2"/>
    </row>
    <row r="11" spans="1:9">
      <c r="A11" s="206">
        <v>40999</v>
      </c>
      <c r="B11" s="29">
        <v>1</v>
      </c>
      <c r="C11" s="2091"/>
      <c r="D11" s="2091"/>
      <c r="E11" s="2091"/>
      <c r="F11" s="2091"/>
      <c r="G11" s="2091"/>
      <c r="H11" s="2"/>
      <c r="I11" s="2"/>
    </row>
    <row r="12" spans="1:9">
      <c r="A12" s="87">
        <v>41000</v>
      </c>
      <c r="B12" s="29">
        <v>1.304</v>
      </c>
      <c r="C12" s="20"/>
      <c r="D12" s="20"/>
      <c r="E12" s="20"/>
      <c r="F12" s="20"/>
      <c r="G12" s="20"/>
      <c r="H12" s="2"/>
      <c r="I12" s="2"/>
    </row>
    <row r="13" spans="1:9">
      <c r="A13" s="87">
        <v>41365</v>
      </c>
      <c r="B13" s="29">
        <v>1.304</v>
      </c>
      <c r="C13" s="20"/>
      <c r="D13" s="20"/>
      <c r="E13" s="20"/>
      <c r="F13" s="20"/>
      <c r="G13" s="20"/>
      <c r="H13" s="2"/>
      <c r="I13" s="2"/>
    </row>
    <row r="14" spans="1:9">
      <c r="A14" s="207">
        <v>41730</v>
      </c>
      <c r="B14" s="18">
        <v>1.7161999999999999</v>
      </c>
      <c r="C14" s="20"/>
      <c r="D14" s="20"/>
      <c r="E14" s="20"/>
      <c r="F14" s="20"/>
      <c r="G14" s="20"/>
      <c r="H14" s="2"/>
      <c r="I14" s="2"/>
    </row>
    <row r="15" spans="1:9">
      <c r="A15" s="207">
        <v>42095</v>
      </c>
      <c r="B15" s="18">
        <v>2.1745000000000001</v>
      </c>
      <c r="C15" s="20"/>
      <c r="D15" s="20"/>
      <c r="E15" s="20"/>
      <c r="F15" s="20"/>
      <c r="G15" s="20"/>
      <c r="H15" s="2"/>
      <c r="I15" s="2"/>
    </row>
    <row r="16" spans="1:9">
      <c r="A16" s="207">
        <v>42461</v>
      </c>
      <c r="B16" s="18">
        <v>2.9882</v>
      </c>
      <c r="C16" s="20"/>
      <c r="D16" s="20"/>
      <c r="E16" s="20"/>
      <c r="F16" s="20"/>
      <c r="G16" s="20"/>
      <c r="H16" s="2"/>
      <c r="I16" s="2"/>
    </row>
    <row r="17" spans="1:12">
      <c r="A17" s="207">
        <v>42826</v>
      </c>
      <c r="B17" s="18">
        <v>4.2446000000000002</v>
      </c>
      <c r="C17" s="20"/>
      <c r="D17" s="20"/>
      <c r="E17" s="20"/>
      <c r="F17" s="20"/>
      <c r="G17" s="20"/>
      <c r="H17" s="2"/>
      <c r="I17" s="2"/>
      <c r="L17" s="13"/>
    </row>
    <row r="18" spans="1:12">
      <c r="A18" s="207">
        <v>43070</v>
      </c>
      <c r="B18" s="18">
        <v>5.7702999999999998</v>
      </c>
      <c r="C18" s="20"/>
      <c r="D18" s="20"/>
      <c r="E18" s="20"/>
      <c r="F18" s="27"/>
      <c r="G18" s="20"/>
      <c r="H18" s="2"/>
      <c r="I18" s="2"/>
    </row>
    <row r="19" spans="1:12">
      <c r="A19" s="692">
        <v>43191</v>
      </c>
      <c r="B19" s="693">
        <v>6.9683000000000002</v>
      </c>
      <c r="C19" s="20"/>
      <c r="D19" s="20"/>
      <c r="E19" s="20"/>
      <c r="F19" s="20"/>
      <c r="G19" s="20"/>
      <c r="H19" s="2"/>
      <c r="I19" s="2"/>
    </row>
    <row r="20" spans="1:12">
      <c r="A20" s="692">
        <v>43373</v>
      </c>
      <c r="B20" s="693">
        <v>7.4972000000000003</v>
      </c>
      <c r="C20" s="20"/>
      <c r="D20" s="20"/>
      <c r="E20" s="20"/>
      <c r="F20" s="20"/>
      <c r="G20" s="20"/>
      <c r="H20" s="2"/>
      <c r="I20" s="2"/>
    </row>
    <row r="21" spans="1:12">
      <c r="A21" s="692">
        <v>43556</v>
      </c>
      <c r="B21" s="693">
        <v>8.4910999999999994</v>
      </c>
      <c r="C21" s="20"/>
      <c r="D21" s="20"/>
      <c r="E21" s="20"/>
      <c r="F21" s="20"/>
      <c r="G21" s="20"/>
      <c r="H21" s="2"/>
      <c r="I21" s="2"/>
    </row>
    <row r="22" spans="1:12">
      <c r="A22" s="692">
        <v>43739</v>
      </c>
      <c r="B22" s="693">
        <v>9.4007000000000005</v>
      </c>
      <c r="C22" s="20"/>
      <c r="D22" s="20"/>
      <c r="E22" s="20"/>
      <c r="F22" s="20"/>
      <c r="G22" s="20"/>
      <c r="H22" s="2"/>
      <c r="I22" s="2"/>
    </row>
    <row r="23" spans="1:12">
      <c r="A23" s="692">
        <v>43922</v>
      </c>
      <c r="B23" s="693">
        <v>10.323600000000001</v>
      </c>
      <c r="C23" s="20"/>
      <c r="D23" s="20"/>
      <c r="E23" s="20"/>
      <c r="F23" s="20"/>
      <c r="G23" s="20"/>
      <c r="H23" s="2"/>
      <c r="I23" s="2"/>
    </row>
    <row r="24" spans="1:12">
      <c r="A24" s="692">
        <v>44228</v>
      </c>
      <c r="B24" s="693">
        <v>10.2211</v>
      </c>
      <c r="C24" s="20"/>
      <c r="D24" s="20"/>
      <c r="E24" s="20"/>
      <c r="F24" s="20"/>
      <c r="G24" s="20"/>
      <c r="H24" s="2"/>
      <c r="I24" s="2"/>
    </row>
    <row r="25" spans="1:12">
      <c r="A25" s="692">
        <v>44287</v>
      </c>
      <c r="B25" s="693">
        <v>11.1029</v>
      </c>
      <c r="C25" s="20"/>
      <c r="D25" s="20"/>
      <c r="E25" s="20"/>
      <c r="F25" s="20"/>
      <c r="G25" s="20"/>
      <c r="H25" s="2"/>
      <c r="I25" s="2"/>
    </row>
    <row r="26" spans="1:12">
      <c r="A26" s="692">
        <v>44470</v>
      </c>
      <c r="B26" s="693">
        <v>11.4336</v>
      </c>
      <c r="C26" s="20"/>
      <c r="D26" s="20"/>
      <c r="E26" s="20"/>
      <c r="F26" s="20"/>
      <c r="G26" s="20"/>
      <c r="H26" s="2"/>
      <c r="I26" s="2"/>
    </row>
    <row r="27" spans="1:12">
      <c r="A27" s="692">
        <v>44652</v>
      </c>
      <c r="B27" s="693">
        <v>13.410399999999999</v>
      </c>
      <c r="C27" s="20"/>
      <c r="D27" s="20"/>
      <c r="E27" s="20"/>
      <c r="F27" s="20"/>
      <c r="G27" s="20"/>
      <c r="H27" s="2"/>
      <c r="I27" s="2"/>
    </row>
    <row r="28" spans="1:12">
      <c r="A28" s="692">
        <v>44835</v>
      </c>
      <c r="B28" s="693">
        <v>13.741099999999999</v>
      </c>
      <c r="C28" s="20"/>
      <c r="D28" s="20"/>
      <c r="E28" s="20"/>
      <c r="F28" s="20"/>
      <c r="G28" s="20"/>
      <c r="H28" s="2"/>
      <c r="I28" s="2"/>
    </row>
    <row r="29" spans="1:12">
      <c r="A29" s="692">
        <v>45017</v>
      </c>
      <c r="B29" s="693">
        <v>15.533899999999999</v>
      </c>
      <c r="C29" s="20"/>
      <c r="D29" s="20"/>
      <c r="E29" s="20"/>
      <c r="F29" s="20"/>
      <c r="G29" s="20"/>
      <c r="H29" s="2"/>
      <c r="I29" s="2"/>
    </row>
    <row r="30" spans="1:12">
      <c r="A30" s="692">
        <v>45200</v>
      </c>
      <c r="B30" s="693">
        <v>15.919700000000001</v>
      </c>
      <c r="C30" s="20"/>
      <c r="D30" s="20"/>
      <c r="E30" s="20"/>
      <c r="F30" s="20"/>
      <c r="G30" s="20"/>
      <c r="H30" s="2"/>
      <c r="I30" s="2"/>
    </row>
    <row r="31" spans="1:12">
      <c r="A31" s="692">
        <v>45383</v>
      </c>
      <c r="B31" s="693">
        <v>22.806699999999999</v>
      </c>
      <c r="C31" s="20"/>
      <c r="D31" s="20"/>
      <c r="E31" s="20"/>
      <c r="F31" s="20"/>
      <c r="G31" s="20"/>
      <c r="H31" s="2"/>
      <c r="I31" s="2"/>
    </row>
    <row r="32" spans="1:12" ht="15" thickBot="1">
      <c r="A32" s="953">
        <v>45748</v>
      </c>
      <c r="B32" s="954">
        <v>23.3095</v>
      </c>
      <c r="C32" s="20"/>
      <c r="D32" s="20"/>
      <c r="E32" s="20"/>
      <c r="F32" s="20"/>
      <c r="G32" s="20"/>
      <c r="H32" s="2"/>
      <c r="I32" s="2"/>
    </row>
    <row r="33" spans="1:9">
      <c r="A33" s="838"/>
      <c r="B33" s="7"/>
      <c r="C33" s="20"/>
      <c r="D33" s="20"/>
      <c r="E33" s="20"/>
      <c r="F33" s="20"/>
      <c r="G33" s="20"/>
      <c r="H33" s="2"/>
      <c r="I33" s="2"/>
    </row>
    <row r="34" spans="1:9">
      <c r="A34" s="838"/>
      <c r="B34" s="7"/>
      <c r="C34" s="20"/>
      <c r="D34" s="20"/>
      <c r="E34" s="20"/>
      <c r="F34" s="20"/>
      <c r="G34" s="20"/>
      <c r="H34" s="2"/>
      <c r="I34" s="2"/>
    </row>
    <row r="35" spans="1:9">
      <c r="A35" s="838"/>
      <c r="B35" s="7"/>
      <c r="C35" s="20"/>
      <c r="D35" s="20"/>
      <c r="E35" s="20"/>
      <c r="F35" s="20"/>
      <c r="G35" s="20"/>
      <c r="H35" s="2"/>
      <c r="I35" s="2"/>
    </row>
  </sheetData>
  <mergeCells count="2">
    <mergeCell ref="A7:B7"/>
    <mergeCell ref="C10:G11"/>
  </mergeCells>
  <phoneticPr fontId="7" type="noConversion"/>
  <pageMargins left="0.75000000000000011" right="0.75000000000000011" top="0.98" bottom="0.98" header="0.51" footer="0.51"/>
  <pageSetup paperSize="9" scale="88"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defaultColWidth="11.36328125" defaultRowHeight="14.5"/>
  <cols>
    <col min="1" max="1" width="11.36328125" customWidth="1"/>
    <col min="2" max="2" width="60.08984375" customWidth="1"/>
    <col min="3" max="3" width="12.36328125" customWidth="1"/>
    <col min="4" max="4" width="12.6328125" customWidth="1"/>
    <col min="5" max="6" width="13" customWidth="1"/>
    <col min="7" max="7" width="14.81640625" customWidth="1"/>
    <col min="9" max="9" width="9.36328125" customWidth="1"/>
  </cols>
  <sheetData>
    <row r="1" spans="1:9">
      <c r="A1" s="1001" t="s">
        <v>259</v>
      </c>
      <c r="B1" s="1007" t="s">
        <v>251</v>
      </c>
      <c r="C1" s="1007"/>
      <c r="D1" s="1007"/>
      <c r="E1" s="1007"/>
      <c r="F1" s="1007"/>
      <c r="G1" s="1007"/>
      <c r="H1" s="1007"/>
      <c r="I1" s="1008"/>
    </row>
    <row r="2" spans="1:9" ht="15" thickBot="1">
      <c r="A2" s="1002"/>
      <c r="B2" s="1009"/>
      <c r="C2" s="1009"/>
      <c r="D2" s="1009"/>
      <c r="E2" s="1009"/>
      <c r="F2" s="1009"/>
      <c r="G2" s="1009"/>
      <c r="H2" s="1009"/>
      <c r="I2" s="1010"/>
    </row>
    <row r="3" spans="1:9" ht="42" customHeight="1" thickBot="1">
      <c r="A3" s="1002"/>
      <c r="B3" s="993" t="s">
        <v>261</v>
      </c>
      <c r="C3" s="994"/>
      <c r="D3" s="994"/>
      <c r="E3" s="994"/>
      <c r="F3" s="994"/>
      <c r="G3" s="994"/>
      <c r="H3" s="994"/>
      <c r="I3" s="995"/>
    </row>
    <row r="4" spans="1:9" ht="15" customHeight="1">
      <c r="A4" s="1002"/>
      <c r="B4" s="472" t="s">
        <v>249</v>
      </c>
      <c r="C4" s="493" t="s">
        <v>234</v>
      </c>
      <c r="D4" s="494" t="s">
        <v>235</v>
      </c>
      <c r="E4" s="494" t="s">
        <v>236</v>
      </c>
      <c r="F4" s="493" t="s">
        <v>237</v>
      </c>
      <c r="G4" s="1022" t="s">
        <v>263</v>
      </c>
      <c r="H4" s="1022" t="s">
        <v>265</v>
      </c>
      <c r="I4" s="1024" t="s">
        <v>242</v>
      </c>
    </row>
    <row r="5" spans="1:9" ht="39.5" thickBot="1">
      <c r="A5" s="1002"/>
      <c r="B5" s="473" t="s">
        <v>248</v>
      </c>
      <c r="C5" s="495" t="s">
        <v>253</v>
      </c>
      <c r="D5" s="495" t="s">
        <v>254</v>
      </c>
      <c r="E5" s="495" t="s">
        <v>255</v>
      </c>
      <c r="F5" s="495" t="s">
        <v>256</v>
      </c>
      <c r="G5" s="1023"/>
      <c r="H5" s="1023"/>
      <c r="I5" s="1025"/>
    </row>
    <row r="6" spans="1:9">
      <c r="A6" s="1002"/>
      <c r="B6" s="388" t="s">
        <v>238</v>
      </c>
      <c r="C6" s="467" t="s">
        <v>239</v>
      </c>
      <c r="D6" s="467" t="s">
        <v>239</v>
      </c>
      <c r="E6" s="467" t="s">
        <v>239</v>
      </c>
      <c r="F6" s="467" t="s">
        <v>239</v>
      </c>
      <c r="G6" s="467" t="s">
        <v>244</v>
      </c>
      <c r="H6" s="467" t="s">
        <v>244</v>
      </c>
      <c r="I6" s="468" t="s">
        <v>244</v>
      </c>
    </row>
    <row r="7" spans="1:9">
      <c r="A7" s="1002"/>
      <c r="B7" s="386" t="s">
        <v>260</v>
      </c>
      <c r="C7" s="466" t="s">
        <v>239</v>
      </c>
      <c r="D7" s="466" t="s">
        <v>239</v>
      </c>
      <c r="E7" s="466" t="s">
        <v>239</v>
      </c>
      <c r="F7" s="466" t="s">
        <v>239</v>
      </c>
      <c r="G7" s="466" t="s">
        <v>245</v>
      </c>
      <c r="H7" s="466" t="s">
        <v>244</v>
      </c>
      <c r="I7" s="469" t="s">
        <v>245</v>
      </c>
    </row>
    <row r="8" spans="1:9">
      <c r="A8" s="1002"/>
      <c r="B8" s="386" t="s">
        <v>13</v>
      </c>
      <c r="C8" s="466" t="s">
        <v>239</v>
      </c>
      <c r="D8" s="466" t="s">
        <v>239</v>
      </c>
      <c r="E8" s="466" t="s">
        <v>239</v>
      </c>
      <c r="F8" s="466" t="s">
        <v>239</v>
      </c>
      <c r="G8" s="466" t="s">
        <v>244</v>
      </c>
      <c r="H8" s="466" t="s">
        <v>245</v>
      </c>
      <c r="I8" s="469" t="s">
        <v>244</v>
      </c>
    </row>
    <row r="9" spans="1:9">
      <c r="A9" s="1002"/>
      <c r="B9" s="386" t="s">
        <v>240</v>
      </c>
      <c r="C9" s="466" t="s">
        <v>239</v>
      </c>
      <c r="D9" s="466" t="s">
        <v>239</v>
      </c>
      <c r="E9" s="466" t="s">
        <v>239</v>
      </c>
      <c r="F9" s="466"/>
      <c r="G9" s="466" t="s">
        <v>245</v>
      </c>
      <c r="H9" s="466" t="s">
        <v>244</v>
      </c>
      <c r="I9" s="469" t="s">
        <v>244</v>
      </c>
    </row>
    <row r="10" spans="1:9">
      <c r="A10" s="1002"/>
      <c r="B10" s="386" t="s">
        <v>241</v>
      </c>
      <c r="C10" s="466" t="s">
        <v>239</v>
      </c>
      <c r="D10" s="466" t="s">
        <v>239</v>
      </c>
      <c r="E10" s="466" t="s">
        <v>239</v>
      </c>
      <c r="F10" s="466" t="s">
        <v>239</v>
      </c>
      <c r="G10" s="466" t="s">
        <v>244</v>
      </c>
      <c r="H10" s="466" t="s">
        <v>244</v>
      </c>
      <c r="I10" s="469" t="s">
        <v>244</v>
      </c>
    </row>
    <row r="11" spans="1:9">
      <c r="A11" s="1002"/>
      <c r="B11" s="386" t="s">
        <v>545</v>
      </c>
      <c r="C11" s="466" t="s">
        <v>239</v>
      </c>
      <c r="D11" s="466" t="s">
        <v>239</v>
      </c>
      <c r="E11" s="466" t="s">
        <v>239</v>
      </c>
      <c r="F11" s="466" t="s">
        <v>239</v>
      </c>
      <c r="G11" s="489" t="s">
        <v>244</v>
      </c>
      <c r="H11" s="489" t="s">
        <v>244</v>
      </c>
      <c r="I11" s="691" t="s">
        <v>244</v>
      </c>
    </row>
    <row r="12" spans="1:9">
      <c r="A12" s="1002"/>
      <c r="B12" s="1026" t="s">
        <v>269</v>
      </c>
      <c r="C12" s="1021"/>
      <c r="D12" s="1021"/>
      <c r="E12" s="1021"/>
      <c r="F12" s="1021" t="s">
        <v>247</v>
      </c>
      <c r="G12" s="1013" t="s">
        <v>244</v>
      </c>
      <c r="H12" s="1013" t="s">
        <v>244</v>
      </c>
      <c r="I12" s="1015" t="s">
        <v>244</v>
      </c>
    </row>
    <row r="13" spans="1:9">
      <c r="A13" s="1002"/>
      <c r="B13" s="1026"/>
      <c r="C13" s="1021"/>
      <c r="D13" s="1021"/>
      <c r="E13" s="1021"/>
      <c r="F13" s="1021"/>
      <c r="G13" s="1014"/>
      <c r="H13" s="1014"/>
      <c r="I13" s="1016"/>
    </row>
    <row r="14" spans="1:9" ht="29">
      <c r="A14" s="1002"/>
      <c r="B14" s="488" t="s">
        <v>274</v>
      </c>
      <c r="C14" s="466" t="s">
        <v>247</v>
      </c>
      <c r="D14" s="466" t="s">
        <v>247</v>
      </c>
      <c r="E14" s="466" t="s">
        <v>247</v>
      </c>
      <c r="F14" s="466" t="s">
        <v>247</v>
      </c>
      <c r="G14" s="467" t="s">
        <v>244</v>
      </c>
      <c r="H14" s="467" t="s">
        <v>244</v>
      </c>
      <c r="I14" s="468" t="s">
        <v>244</v>
      </c>
    </row>
    <row r="15" spans="1:9">
      <c r="A15" s="1002"/>
      <c r="B15" s="386" t="s">
        <v>250</v>
      </c>
      <c r="C15" s="466" t="s">
        <v>239</v>
      </c>
      <c r="D15" s="466" t="s">
        <v>239</v>
      </c>
      <c r="E15" s="466" t="s">
        <v>239</v>
      </c>
      <c r="F15" s="466" t="s">
        <v>239</v>
      </c>
      <c r="G15" s="466" t="s">
        <v>244</v>
      </c>
      <c r="H15" s="466" t="s">
        <v>245</v>
      </c>
      <c r="I15" s="469" t="s">
        <v>244</v>
      </c>
    </row>
    <row r="16" spans="1:9">
      <c r="A16" s="1002"/>
      <c r="B16" s="1019" t="s">
        <v>453</v>
      </c>
      <c r="C16" s="1020" t="s">
        <v>239</v>
      </c>
      <c r="D16" s="1021" t="s">
        <v>239</v>
      </c>
      <c r="E16" s="1021" t="s">
        <v>239</v>
      </c>
      <c r="F16" s="1020" t="s">
        <v>239</v>
      </c>
      <c r="G16" s="1013" t="s">
        <v>245</v>
      </c>
      <c r="H16" s="1013" t="s">
        <v>245</v>
      </c>
      <c r="I16" s="1015" t="s">
        <v>244</v>
      </c>
    </row>
    <row r="17" spans="1:9" ht="1" customHeight="1">
      <c r="A17" s="1002"/>
      <c r="B17" s="1019"/>
      <c r="C17" s="1020"/>
      <c r="D17" s="1021"/>
      <c r="E17" s="1021"/>
      <c r="F17" s="1020"/>
      <c r="G17" s="1014"/>
      <c r="H17" s="1014"/>
      <c r="I17" s="1016"/>
    </row>
    <row r="18" spans="1:9" ht="39.5">
      <c r="A18" s="1002"/>
      <c r="B18" s="386" t="s">
        <v>262</v>
      </c>
      <c r="C18" s="466" t="s">
        <v>239</v>
      </c>
      <c r="D18" s="466" t="s">
        <v>239</v>
      </c>
      <c r="E18" s="466" t="s">
        <v>239</v>
      </c>
      <c r="F18" s="466" t="s">
        <v>239</v>
      </c>
      <c r="G18" s="596" t="s">
        <v>316</v>
      </c>
      <c r="H18" s="466" t="s">
        <v>245</v>
      </c>
      <c r="I18" s="469" t="s">
        <v>244</v>
      </c>
    </row>
    <row r="19" spans="1:9">
      <c r="A19" s="1002"/>
      <c r="B19" s="386" t="s">
        <v>67</v>
      </c>
      <c r="C19" s="466" t="s">
        <v>239</v>
      </c>
      <c r="D19" s="466" t="s">
        <v>239</v>
      </c>
      <c r="E19" s="466" t="s">
        <v>239</v>
      </c>
      <c r="F19" s="466" t="s">
        <v>239</v>
      </c>
      <c r="G19" s="466" t="s">
        <v>245</v>
      </c>
      <c r="H19" s="489" t="s">
        <v>245</v>
      </c>
      <c r="I19" s="469" t="s">
        <v>245</v>
      </c>
    </row>
    <row r="20" spans="1:9">
      <c r="A20" s="1002"/>
      <c r="B20" s="386" t="s">
        <v>246</v>
      </c>
      <c r="C20" s="466" t="s">
        <v>239</v>
      </c>
      <c r="D20" s="466" t="s">
        <v>239</v>
      </c>
      <c r="E20" s="466" t="s">
        <v>239</v>
      </c>
      <c r="F20" s="466" t="s">
        <v>239</v>
      </c>
      <c r="G20" s="466" t="s">
        <v>244</v>
      </c>
      <c r="H20" s="1017" t="s">
        <v>264</v>
      </c>
      <c r="I20" s="469" t="s">
        <v>244</v>
      </c>
    </row>
    <row r="21" spans="1:9" ht="15" thickBot="1">
      <c r="A21" s="1002"/>
      <c r="B21" s="486" t="s">
        <v>243</v>
      </c>
      <c r="C21" s="470" t="s">
        <v>239</v>
      </c>
      <c r="D21" s="470" t="s">
        <v>239</v>
      </c>
      <c r="E21" s="470" t="s">
        <v>239</v>
      </c>
      <c r="F21" s="470" t="s">
        <v>239</v>
      </c>
      <c r="G21" s="470" t="s">
        <v>244</v>
      </c>
      <c r="H21" s="1018"/>
      <c r="I21" s="471" t="s">
        <v>244</v>
      </c>
    </row>
    <row r="22" spans="1:9">
      <c r="A22" s="1002"/>
      <c r="B22" s="487" t="s">
        <v>225</v>
      </c>
      <c r="C22" s="479"/>
      <c r="D22" s="479"/>
      <c r="E22" s="480"/>
      <c r="F22" s="480"/>
      <c r="G22" s="481"/>
      <c r="H22" s="481"/>
      <c r="I22" s="482"/>
    </row>
    <row r="23" spans="1:9">
      <c r="A23" s="1002"/>
      <c r="B23" s="490" t="s">
        <v>226</v>
      </c>
      <c r="C23" s="490"/>
      <c r="D23" s="490"/>
      <c r="E23" s="42"/>
      <c r="F23" s="42"/>
      <c r="G23" s="53"/>
      <c r="H23" s="53"/>
      <c r="I23" s="483"/>
    </row>
    <row r="24" spans="1:9">
      <c r="A24" s="1002"/>
      <c r="B24" s="490" t="s">
        <v>546</v>
      </c>
      <c r="C24" s="490"/>
      <c r="D24" s="490"/>
      <c r="E24" s="42"/>
      <c r="F24" s="42"/>
      <c r="G24" s="53"/>
      <c r="H24" s="53"/>
      <c r="I24" s="483"/>
    </row>
    <row r="25" spans="1:9">
      <c r="A25" s="1002"/>
      <c r="B25" s="1011" t="s">
        <v>421</v>
      </c>
      <c r="C25" s="1011"/>
      <c r="D25" s="1011"/>
      <c r="E25" s="1011"/>
      <c r="F25" s="1011"/>
      <c r="G25" s="1011"/>
      <c r="H25" s="1011"/>
      <c r="I25" s="1012"/>
    </row>
    <row r="26" spans="1:9">
      <c r="A26" s="1002"/>
      <c r="B26" s="1011"/>
      <c r="C26" s="1011"/>
      <c r="D26" s="1011"/>
      <c r="E26" s="1011"/>
      <c r="F26" s="1011"/>
      <c r="G26" s="1011"/>
      <c r="H26" s="1011"/>
      <c r="I26" s="1012"/>
    </row>
    <row r="27" spans="1:9" ht="15" thickBot="1">
      <c r="A27" s="1003"/>
      <c r="B27" s="484"/>
      <c r="C27" s="484"/>
      <c r="D27" s="484"/>
      <c r="E27" s="484"/>
      <c r="F27" s="484"/>
      <c r="G27" s="484"/>
      <c r="H27" s="484"/>
      <c r="I27" s="485"/>
    </row>
    <row r="28" spans="1:9">
      <c r="B28" s="56"/>
      <c r="C28" s="56"/>
      <c r="D28" s="56"/>
      <c r="E28" s="56"/>
      <c r="F28" s="56"/>
      <c r="G28" s="56"/>
      <c r="H28" s="56"/>
      <c r="I28" s="56"/>
    </row>
    <row r="29" spans="1:9" ht="15" thickBot="1">
      <c r="B29" s="462"/>
      <c r="C29" s="462"/>
      <c r="D29" s="462"/>
      <c r="E29" s="71"/>
      <c r="F29" s="465"/>
      <c r="G29" s="70"/>
      <c r="H29" s="70"/>
      <c r="I29" s="70"/>
    </row>
    <row r="30" spans="1:9" ht="22" customHeight="1" thickBot="1">
      <c r="A30" s="1001" t="s">
        <v>258</v>
      </c>
      <c r="B30" s="999" t="s">
        <v>252</v>
      </c>
      <c r="C30" s="999"/>
      <c r="D30" s="999"/>
      <c r="E30" s="999"/>
      <c r="F30" s="999"/>
      <c r="G30" s="999"/>
      <c r="H30" s="999"/>
      <c r="I30" s="1000"/>
    </row>
    <row r="31" spans="1:9" ht="37" customHeight="1" thickBot="1">
      <c r="A31" s="1002"/>
      <c r="B31" s="996" t="s">
        <v>476</v>
      </c>
      <c r="C31" s="997"/>
      <c r="D31" s="997"/>
      <c r="E31" s="997"/>
      <c r="F31" s="997"/>
      <c r="G31" s="997"/>
      <c r="H31" s="997"/>
      <c r="I31" s="998"/>
    </row>
    <row r="32" spans="1:9" ht="16" thickBot="1">
      <c r="A32" s="1002"/>
      <c r="B32" s="474" t="s">
        <v>266</v>
      </c>
      <c r="C32" s="474"/>
      <c r="D32" s="474"/>
      <c r="E32" s="474"/>
      <c r="F32" s="474"/>
      <c r="G32" s="1048" t="s">
        <v>57</v>
      </c>
      <c r="H32" s="1049"/>
      <c r="I32" s="1050"/>
    </row>
    <row r="33" spans="1:11">
      <c r="A33" s="1002"/>
      <c r="B33" s="475" t="s">
        <v>228</v>
      </c>
      <c r="C33" s="475"/>
      <c r="D33" s="475"/>
      <c r="E33" s="475"/>
      <c r="F33" s="475"/>
      <c r="G33" s="1051" t="s">
        <v>519</v>
      </c>
      <c r="H33" s="1052"/>
      <c r="I33" s="1053"/>
    </row>
    <row r="34" spans="1:11">
      <c r="A34" s="1002"/>
      <c r="B34" s="476" t="s">
        <v>275</v>
      </c>
      <c r="C34" s="476"/>
      <c r="D34" s="476"/>
      <c r="E34" s="476"/>
      <c r="F34" s="476"/>
      <c r="G34" s="1033" t="s">
        <v>520</v>
      </c>
      <c r="H34" s="1034"/>
      <c r="I34" s="1035"/>
    </row>
    <row r="35" spans="1:11" ht="15" thickBot="1">
      <c r="A35" s="1002"/>
      <c r="B35" s="477" t="s">
        <v>276</v>
      </c>
      <c r="C35" s="477"/>
      <c r="D35" s="477"/>
      <c r="E35" s="477"/>
      <c r="F35" s="477"/>
      <c r="G35" s="1036">
        <v>48</v>
      </c>
      <c r="H35" s="1037"/>
      <c r="I35" s="1038"/>
    </row>
    <row r="36" spans="1:11" ht="15" thickBot="1">
      <c r="A36" s="1002"/>
      <c r="B36" s="1004"/>
      <c r="C36" s="1005"/>
      <c r="D36" s="1005"/>
      <c r="E36" s="1005"/>
      <c r="F36" s="1005"/>
      <c r="G36" s="1005"/>
      <c r="H36" s="1005"/>
      <c r="I36" s="1006"/>
      <c r="J36" s="237"/>
      <c r="K36" s="237"/>
    </row>
    <row r="37" spans="1:11" ht="16" thickBot="1">
      <c r="A37" s="1002"/>
      <c r="B37" s="474" t="s">
        <v>523</v>
      </c>
      <c r="C37" s="474"/>
      <c r="D37" s="474"/>
      <c r="E37" s="474"/>
      <c r="F37" s="474"/>
      <c r="G37" s="1042" t="s">
        <v>57</v>
      </c>
      <c r="H37" s="1043"/>
      <c r="I37" s="1044"/>
    </row>
    <row r="38" spans="1:11">
      <c r="A38" s="1002"/>
      <c r="B38" s="947" t="s">
        <v>230</v>
      </c>
      <c r="C38" s="948"/>
      <c r="D38" s="948"/>
      <c r="E38" s="948"/>
      <c r="F38" s="948"/>
      <c r="G38" s="1045" t="s">
        <v>521</v>
      </c>
      <c r="H38" s="1046"/>
      <c r="I38" s="1047"/>
    </row>
    <row r="39" spans="1:11">
      <c r="A39" s="1002"/>
      <c r="B39" s="951" t="s">
        <v>522</v>
      </c>
      <c r="C39" s="946"/>
      <c r="D39" s="946"/>
      <c r="E39" s="946"/>
      <c r="F39" s="946"/>
      <c r="G39" s="1039">
        <v>40</v>
      </c>
      <c r="H39" s="1040"/>
      <c r="I39" s="1041"/>
    </row>
    <row r="40" spans="1:11">
      <c r="A40" s="1002"/>
      <c r="B40" s="949" t="s">
        <v>423</v>
      </c>
      <c r="C40" s="476"/>
      <c r="D40" s="476"/>
      <c r="E40" s="476"/>
      <c r="F40" s="476"/>
      <c r="G40" s="1033" t="s">
        <v>229</v>
      </c>
      <c r="H40" s="1034"/>
      <c r="I40" s="1035"/>
    </row>
    <row r="41" spans="1:11">
      <c r="A41" s="1002"/>
      <c r="B41" s="949" t="s">
        <v>441</v>
      </c>
      <c r="C41" s="476"/>
      <c r="D41" s="476"/>
      <c r="E41" s="476"/>
      <c r="F41" s="476"/>
      <c r="G41" s="1033" t="s">
        <v>419</v>
      </c>
      <c r="H41" s="1034"/>
      <c r="I41" s="1035"/>
    </row>
    <row r="42" spans="1:11" ht="15" thickBot="1">
      <c r="A42" s="1002"/>
      <c r="B42" s="950" t="s">
        <v>442</v>
      </c>
      <c r="C42" s="477"/>
      <c r="D42" s="477"/>
      <c r="E42" s="477"/>
      <c r="F42" s="477"/>
      <c r="G42" s="1036" t="s">
        <v>420</v>
      </c>
      <c r="H42" s="1037"/>
      <c r="I42" s="1038"/>
    </row>
    <row r="43" spans="1:11" ht="15" thickBot="1">
      <c r="A43" s="1002"/>
      <c r="B43" s="1004"/>
      <c r="C43" s="1005"/>
      <c r="D43" s="1005"/>
      <c r="E43" s="1005"/>
      <c r="F43" s="1005"/>
      <c r="G43" s="1005"/>
      <c r="H43" s="1005"/>
      <c r="I43" s="1006"/>
      <c r="J43" s="237"/>
      <c r="K43" s="237"/>
    </row>
    <row r="44" spans="1:11" ht="15.5">
      <c r="A44" s="1002"/>
      <c r="B44" s="463" t="s">
        <v>267</v>
      </c>
      <c r="C44" s="463"/>
      <c r="D44" s="463"/>
      <c r="E44" s="463"/>
      <c r="F44" s="463"/>
      <c r="G44" s="1027" t="s">
        <v>233</v>
      </c>
      <c r="H44" s="1028"/>
      <c r="I44" s="1029"/>
    </row>
    <row r="45" spans="1:11">
      <c r="A45" s="1002"/>
      <c r="B45" s="464" t="s">
        <v>268</v>
      </c>
      <c r="C45" s="464"/>
      <c r="D45" s="464"/>
      <c r="E45" s="464"/>
      <c r="F45" s="464"/>
      <c r="G45" s="1030"/>
      <c r="H45" s="1031"/>
      <c r="I45" s="1032"/>
    </row>
    <row r="46" spans="1:11">
      <c r="A46" s="1002"/>
      <c r="B46" s="478" t="s">
        <v>230</v>
      </c>
      <c r="C46" s="478"/>
      <c r="D46" s="478"/>
      <c r="E46" s="478"/>
      <c r="F46" s="478"/>
      <c r="G46" s="1033" t="s">
        <v>231</v>
      </c>
      <c r="H46" s="1034"/>
      <c r="I46" s="1035"/>
    </row>
    <row r="47" spans="1:11" ht="15" thickBot="1">
      <c r="A47" s="1003"/>
      <c r="B47" s="264" t="s">
        <v>443</v>
      </c>
      <c r="C47" s="264"/>
      <c r="D47" s="264"/>
      <c r="E47" s="264"/>
      <c r="F47" s="264"/>
      <c r="G47" s="1036" t="s">
        <v>232</v>
      </c>
      <c r="H47" s="1037"/>
      <c r="I47" s="1038"/>
    </row>
  </sheetData>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6"/>
  <sheetViews>
    <sheetView view="pageBreakPreview" zoomScale="120" zoomScaleSheetLayoutView="120" workbookViewId="0">
      <selection activeCell="D104" sqref="D104:G104"/>
    </sheetView>
  </sheetViews>
  <sheetFormatPr defaultColWidth="8.81640625" defaultRowHeight="14"/>
  <cols>
    <col min="1" max="9" width="13.36328125" style="2" customWidth="1"/>
    <col min="10" max="10" width="9.36328125" style="2" bestFit="1" customWidth="1"/>
    <col min="11" max="16384" width="8.81640625" style="2"/>
  </cols>
  <sheetData>
    <row r="1" spans="1:22" ht="23" customHeight="1">
      <c r="A1" s="1186" t="s">
        <v>19</v>
      </c>
      <c r="B1" s="1187"/>
      <c r="C1" s="1187"/>
      <c r="D1" s="1187"/>
      <c r="E1" s="1187"/>
      <c r="F1" s="1187"/>
      <c r="G1" s="1187"/>
      <c r="H1" s="1187"/>
      <c r="I1" s="1188"/>
      <c r="J1" s="39"/>
    </row>
    <row r="2" spans="1:22" ht="23" customHeight="1">
      <c r="A2" s="1199" t="s">
        <v>6</v>
      </c>
      <c r="B2" s="1200"/>
      <c r="C2" s="1200"/>
      <c r="D2" s="1200"/>
      <c r="E2" s="1200"/>
      <c r="F2" s="1200"/>
      <c r="G2" s="1200"/>
      <c r="H2" s="1200"/>
      <c r="I2" s="1201"/>
    </row>
    <row r="3" spans="1:22" ht="24" customHeight="1" thickBot="1">
      <c r="A3" s="1217" t="str">
        <f>'Forside 1'!A6:I6</f>
        <v>Gældende fra 1. april 2025</v>
      </c>
      <c r="B3" s="1218"/>
      <c r="C3" s="1218"/>
      <c r="D3" s="1218"/>
      <c r="E3" s="1218"/>
      <c r="F3" s="1218"/>
      <c r="G3" s="1218"/>
      <c r="H3" s="1218"/>
      <c r="I3" s="1219"/>
      <c r="N3" s="57"/>
      <c r="O3" s="57"/>
      <c r="P3" s="57"/>
      <c r="Q3" s="57"/>
      <c r="R3" s="57"/>
      <c r="S3" s="57"/>
      <c r="T3" s="57"/>
      <c r="U3" s="57"/>
      <c r="V3" s="57"/>
    </row>
    <row r="4" spans="1:22" ht="20" customHeight="1" thickBot="1">
      <c r="A4" s="41"/>
      <c r="B4" s="41"/>
      <c r="C4" s="41"/>
      <c r="D4" s="41"/>
      <c r="E4" s="41"/>
      <c r="F4" s="41"/>
      <c r="G4" s="41"/>
      <c r="H4" s="41"/>
      <c r="I4" s="41"/>
      <c r="N4" s="1216"/>
      <c r="O4" s="1216"/>
      <c r="P4" s="1216"/>
      <c r="Q4" s="1216"/>
      <c r="R4" s="1216"/>
      <c r="S4" s="1216"/>
      <c r="T4" s="1216"/>
      <c r="U4" s="1216"/>
      <c r="V4" s="1216"/>
    </row>
    <row r="5" spans="1:22" ht="20" customHeight="1">
      <c r="A5" s="1078" t="s">
        <v>238</v>
      </c>
      <c r="B5" s="1079"/>
      <c r="C5" s="1079"/>
      <c r="D5" s="1079"/>
      <c r="E5" s="1079"/>
      <c r="F5" s="1079"/>
      <c r="G5" s="1079"/>
      <c r="H5" s="1080"/>
      <c r="I5" s="62"/>
      <c r="N5" s="57"/>
      <c r="O5" s="57"/>
      <c r="P5" s="57"/>
      <c r="Q5" s="57"/>
      <c r="R5" s="57"/>
      <c r="S5" s="57"/>
      <c r="T5" s="57"/>
      <c r="U5" s="57"/>
      <c r="V5" s="57"/>
    </row>
    <row r="6" spans="1:22" ht="20" customHeight="1" thickBot="1">
      <c r="A6" s="1158" t="s">
        <v>389</v>
      </c>
      <c r="B6" s="1159"/>
      <c r="C6" s="1159"/>
      <c r="D6" s="1159"/>
      <c r="E6" s="1159"/>
      <c r="F6" s="1159"/>
      <c r="G6" s="1159"/>
      <c r="H6" s="1160"/>
      <c r="I6" s="62"/>
      <c r="N6" s="57"/>
      <c r="O6" s="57"/>
      <c r="P6" s="57"/>
      <c r="Q6" s="57"/>
      <c r="R6" s="57"/>
      <c r="S6" s="57"/>
      <c r="T6" s="57"/>
      <c r="U6" s="57"/>
      <c r="V6" s="57"/>
    </row>
    <row r="7" spans="1:22" ht="24" customHeight="1" thickBot="1">
      <c r="A7" s="1226" t="s">
        <v>94</v>
      </c>
      <c r="B7" s="1223" t="s">
        <v>0</v>
      </c>
      <c r="C7" s="1057" t="s">
        <v>4</v>
      </c>
      <c r="D7" s="1057"/>
      <c r="E7" s="1115"/>
      <c r="F7" s="1220" t="s">
        <v>5</v>
      </c>
      <c r="G7" s="1221"/>
      <c r="H7" s="1222"/>
      <c r="I7" s="63"/>
    </row>
    <row r="8" spans="1:22" ht="28">
      <c r="A8" s="1227"/>
      <c r="B8" s="1224"/>
      <c r="C8" s="319" t="s">
        <v>131</v>
      </c>
      <c r="D8" s="319" t="s">
        <v>310</v>
      </c>
      <c r="E8" s="319" t="s">
        <v>257</v>
      </c>
      <c r="F8" s="319" t="s">
        <v>131</v>
      </c>
      <c r="G8" s="319" t="s">
        <v>310</v>
      </c>
      <c r="H8" s="319" t="s">
        <v>257</v>
      </c>
      <c r="I8" s="50"/>
    </row>
    <row r="9" spans="1:22" ht="18" customHeight="1" thickBot="1">
      <c r="A9" s="1228"/>
      <c r="B9" s="1225"/>
      <c r="C9" s="320">
        <v>40999</v>
      </c>
      <c r="D9" s="320" t="str">
        <f>'Løntabel gældende fra'!$D$1</f>
        <v>01-04-2025</v>
      </c>
      <c r="E9" s="320" t="str">
        <f>'Løntabel gældende fra'!$D$1</f>
        <v>01-04-2025</v>
      </c>
      <c r="F9" s="321">
        <v>40999</v>
      </c>
      <c r="G9" s="320" t="str">
        <f>'Løntabel gældende fra'!$D$1</f>
        <v>01-04-2025</v>
      </c>
      <c r="H9" s="320" t="str">
        <f>'Løntabel gældende fra'!$D$1</f>
        <v>01-04-2025</v>
      </c>
      <c r="I9" s="61"/>
    </row>
    <row r="10" spans="1:22" ht="15" customHeight="1">
      <c r="A10" s="324" t="s">
        <v>1</v>
      </c>
      <c r="B10" s="325">
        <v>1</v>
      </c>
      <c r="C10" s="135">
        <v>279695</v>
      </c>
      <c r="D10" s="820">
        <f>ROUND(C10+(C10*'Løntabel gældende fra'!$D$7%),2)</f>
        <v>344890.51</v>
      </c>
      <c r="E10" s="809">
        <f>ROUND(D10/12,2)</f>
        <v>28740.880000000001</v>
      </c>
      <c r="F10" s="135">
        <v>272188</v>
      </c>
      <c r="G10" s="136">
        <f>ROUND(F10+(F10*'Løntabel gældende fra'!$D$7%),2)</f>
        <v>335633.66</v>
      </c>
      <c r="H10" s="809">
        <f>ROUND(G10/12,2)</f>
        <v>27969.47</v>
      </c>
      <c r="I10" s="10"/>
    </row>
    <row r="11" spans="1:22" ht="15" customHeight="1">
      <c r="A11" s="326" t="s">
        <v>51</v>
      </c>
      <c r="B11" s="327">
        <v>2</v>
      </c>
      <c r="C11" s="137">
        <v>298044</v>
      </c>
      <c r="D11" s="419">
        <f>ROUND(C11+(C11*'Løntabel gældende fra'!$D$7%),2)</f>
        <v>367516.57</v>
      </c>
      <c r="E11" s="810">
        <f t="shared" ref="E11:E13" si="0">ROUND(D11/12,2)</f>
        <v>30626.38</v>
      </c>
      <c r="F11" s="137">
        <v>285295</v>
      </c>
      <c r="G11" s="139">
        <f>ROUND(F11+(F11*'Løntabel gældende fra'!$D$7%),2)</f>
        <v>351795.84</v>
      </c>
      <c r="H11" s="810">
        <f t="shared" ref="H11:H13" si="1">ROUND(G11/12,2)</f>
        <v>29316.32</v>
      </c>
      <c r="I11" s="10"/>
    </row>
    <row r="12" spans="1:22" ht="15" customHeight="1">
      <c r="A12" s="326" t="s">
        <v>2</v>
      </c>
      <c r="B12" s="327">
        <v>3</v>
      </c>
      <c r="C12" s="137">
        <v>325699</v>
      </c>
      <c r="D12" s="419">
        <f>ROUND(C12+(C12*'Løntabel gældende fra'!$D$7%),2)</f>
        <v>401617.81</v>
      </c>
      <c r="E12" s="810">
        <f t="shared" si="0"/>
        <v>33468.15</v>
      </c>
      <c r="F12" s="137">
        <v>295911</v>
      </c>
      <c r="G12" s="139">
        <f>ROUND(F12+(F12*'Løntabel gældende fra'!$D$7%),2)</f>
        <v>364886.37</v>
      </c>
      <c r="H12" s="810">
        <f t="shared" si="1"/>
        <v>30407.200000000001</v>
      </c>
      <c r="I12" s="10"/>
    </row>
    <row r="13" spans="1:22" ht="15" customHeight="1" thickBot="1">
      <c r="A13" s="328" t="s">
        <v>3</v>
      </c>
      <c r="B13" s="329">
        <v>4</v>
      </c>
      <c r="C13" s="141">
        <v>351388</v>
      </c>
      <c r="D13" s="813">
        <f>ROUND(C13+(C13*'Løntabel gældende fra'!$D$7%),2)</f>
        <v>433294.79</v>
      </c>
      <c r="E13" s="811">
        <f t="shared" si="0"/>
        <v>36107.9</v>
      </c>
      <c r="F13" s="141">
        <v>314654</v>
      </c>
      <c r="G13" s="812">
        <f>ROUND(F13+(F13*'Løntabel gældende fra'!$D$7%),2)</f>
        <v>387998.27</v>
      </c>
      <c r="H13" s="811">
        <f t="shared" si="1"/>
        <v>32333.19</v>
      </c>
      <c r="I13" s="10"/>
    </row>
    <row r="14" spans="1:22" ht="21" customHeight="1" thickBot="1">
      <c r="A14" s="8"/>
      <c r="B14" s="8"/>
      <c r="C14" s="9"/>
      <c r="D14" s="8"/>
      <c r="E14" s="8"/>
      <c r="F14" s="9"/>
      <c r="G14" s="8"/>
      <c r="H14" s="8"/>
      <c r="I14" s="10"/>
    </row>
    <row r="15" spans="1:22" ht="20" customHeight="1">
      <c r="A15" s="1078" t="s">
        <v>356</v>
      </c>
      <c r="B15" s="1079"/>
      <c r="C15" s="1079"/>
      <c r="D15" s="1079"/>
      <c r="E15" s="1079"/>
      <c r="F15" s="1079"/>
      <c r="G15" s="1079"/>
      <c r="H15" s="1080"/>
      <c r="I15" s="62"/>
    </row>
    <row r="16" spans="1:22" ht="20" customHeight="1" thickBot="1">
      <c r="A16" s="1158" t="s">
        <v>390</v>
      </c>
      <c r="B16" s="1159"/>
      <c r="C16" s="1159"/>
      <c r="D16" s="1159"/>
      <c r="E16" s="1159"/>
      <c r="F16" s="1159"/>
      <c r="G16" s="1159"/>
      <c r="H16" s="1160"/>
      <c r="I16" s="62"/>
    </row>
    <row r="17" spans="1:9" ht="23" customHeight="1" thickBot="1">
      <c r="A17" s="1087" t="s">
        <v>11</v>
      </c>
      <c r="B17" s="1088"/>
      <c r="C17" s="1056" t="s">
        <v>4</v>
      </c>
      <c r="D17" s="1057"/>
      <c r="E17" s="1115"/>
      <c r="F17" s="1220" t="s">
        <v>5</v>
      </c>
      <c r="G17" s="1221"/>
      <c r="H17" s="1222"/>
      <c r="I17" s="63"/>
    </row>
    <row r="18" spans="1:9">
      <c r="A18" s="1194"/>
      <c r="B18" s="1195"/>
      <c r="C18" s="1085" t="s">
        <v>213</v>
      </c>
      <c r="D18" s="319" t="s">
        <v>98</v>
      </c>
      <c r="E18" s="319" t="s">
        <v>309</v>
      </c>
      <c r="F18" s="1085" t="s">
        <v>213</v>
      </c>
      <c r="G18" s="319" t="s">
        <v>99</v>
      </c>
      <c r="H18" s="319" t="s">
        <v>309</v>
      </c>
      <c r="I18" s="11"/>
    </row>
    <row r="19" spans="1:9" ht="14.5" thickBot="1">
      <c r="A19" s="1194"/>
      <c r="B19" s="1195"/>
      <c r="C19" s="1103"/>
      <c r="D19" s="322">
        <v>40999</v>
      </c>
      <c r="E19" s="323" t="str">
        <f>'Løntabel gældende fra'!$D$1</f>
        <v>01-04-2025</v>
      </c>
      <c r="F19" s="1103"/>
      <c r="G19" s="322">
        <v>40999</v>
      </c>
      <c r="H19" s="323" t="str">
        <f>'Løntabel gældende fra'!$D$1</f>
        <v>01-04-2025</v>
      </c>
      <c r="I19" s="64"/>
    </row>
    <row r="20" spans="1:9" ht="15" customHeight="1">
      <c r="A20" s="1194"/>
      <c r="B20" s="1196"/>
      <c r="C20" s="143" t="s">
        <v>43</v>
      </c>
      <c r="D20" s="144">
        <v>16.38</v>
      </c>
      <c r="E20" s="138">
        <f>ROUND(D20+(D20*'Løntabel gældende fra'!$D$7%),2)</f>
        <v>20.2</v>
      </c>
      <c r="F20" s="145" t="s">
        <v>47</v>
      </c>
      <c r="G20" s="146">
        <v>22.4054</v>
      </c>
      <c r="H20" s="138">
        <f>ROUND(G20+(G20*'Løntabel gældende fra'!$D$7%),2)</f>
        <v>27.63</v>
      </c>
      <c r="I20" s="45"/>
    </row>
    <row r="21" spans="1:9" ht="15" customHeight="1">
      <c r="A21" s="1194"/>
      <c r="B21" s="1196"/>
      <c r="C21" s="147" t="s">
        <v>44</v>
      </c>
      <c r="D21" s="139">
        <v>98.3</v>
      </c>
      <c r="E21" s="138">
        <f>ROUND(D21+(D21*'Løntabel gældende fra'!$D$7%),2)</f>
        <v>121.21</v>
      </c>
      <c r="F21" s="148" t="s">
        <v>48</v>
      </c>
      <c r="G21" s="149">
        <v>65.525400000000005</v>
      </c>
      <c r="H21" s="138">
        <f>ROUND(G21+(G21*'Løntabel gældende fra'!$D$7%),2)</f>
        <v>80.8</v>
      </c>
      <c r="I21" s="45"/>
    </row>
    <row r="22" spans="1:9" ht="15" customHeight="1">
      <c r="A22" s="1194"/>
      <c r="B22" s="1196"/>
      <c r="C22" s="147" t="s">
        <v>45</v>
      </c>
      <c r="D22" s="150">
        <v>131.07</v>
      </c>
      <c r="E22" s="138">
        <f>ROUND(D22+(D22*'Løntabel gældende fra'!$D$7%),2)</f>
        <v>161.62</v>
      </c>
      <c r="F22" s="148" t="s">
        <v>49</v>
      </c>
      <c r="G22" s="149">
        <v>131.07</v>
      </c>
      <c r="H22" s="138">
        <f>ROUND(G22+(G22*'Løntabel gældende fra'!$D$7%),2)</f>
        <v>161.62</v>
      </c>
      <c r="I22" s="45"/>
    </row>
    <row r="23" spans="1:9" ht="15" customHeight="1" thickBot="1">
      <c r="A23" s="1197"/>
      <c r="B23" s="1198"/>
      <c r="C23" s="151" t="s">
        <v>46</v>
      </c>
      <c r="D23" s="152">
        <v>163.83000000000001</v>
      </c>
      <c r="E23" s="142">
        <f>ROUND(D23+(D23*'Løntabel gældende fra'!$D$7%),2)</f>
        <v>202.02</v>
      </c>
      <c r="F23" s="153" t="s">
        <v>50</v>
      </c>
      <c r="G23" s="154">
        <v>163.82830000000001</v>
      </c>
      <c r="H23" s="142">
        <f>ROUND(G23+(G23*'Løntabel gældende fra'!$D$7%),2)</f>
        <v>202.02</v>
      </c>
      <c r="I23" s="45"/>
    </row>
    <row r="24" spans="1:9" s="115" customFormat="1" ht="21" customHeight="1" thickBot="1">
      <c r="A24" s="111"/>
      <c r="B24" s="111"/>
      <c r="C24" s="112"/>
      <c r="D24" s="113"/>
      <c r="E24" s="113"/>
      <c r="F24" s="112"/>
      <c r="G24" s="113"/>
      <c r="H24" s="113"/>
      <c r="I24" s="114"/>
    </row>
    <row r="25" spans="1:9" ht="20" customHeight="1">
      <c r="A25" s="1058" t="s">
        <v>223</v>
      </c>
      <c r="B25" s="1212"/>
      <c r="C25" s="1212"/>
      <c r="D25" s="1212"/>
      <c r="E25" s="1212"/>
      <c r="F25" s="1212"/>
      <c r="G25" s="1212"/>
      <c r="H25" s="1212"/>
      <c r="I25" s="1213"/>
    </row>
    <row r="26" spans="1:9" ht="20" customHeight="1" thickBot="1">
      <c r="A26" s="1068" t="str">
        <f>"Indtast det årlige timetal i de gule felter. Arket beregner derefter det månedlige undervisningstillæg pr. "&amp;'Løntabel gældende fra'!D1&amp;""</f>
        <v>Indtast det årlige timetal i de gule felter. Arket beregner derefter det månedlige undervisningstillæg pr. 01-04-2025</v>
      </c>
      <c r="B26" s="1069"/>
      <c r="C26" s="1069"/>
      <c r="D26" s="1069"/>
      <c r="E26" s="1069"/>
      <c r="F26" s="1069"/>
      <c r="G26" s="1069"/>
      <c r="H26" s="1069"/>
      <c r="I26" s="1070"/>
    </row>
    <row r="27" spans="1:9" ht="24" customHeight="1">
      <c r="A27" s="1192"/>
      <c r="B27" s="1193"/>
      <c r="C27" s="1190" t="s">
        <v>4</v>
      </c>
      <c r="D27" s="1190"/>
      <c r="E27" s="1191"/>
      <c r="F27" s="1189" t="s">
        <v>5</v>
      </c>
      <c r="G27" s="1190"/>
      <c r="H27" s="1190"/>
      <c r="I27" s="1191"/>
    </row>
    <row r="28" spans="1:9" ht="20" customHeight="1">
      <c r="A28" s="1204" t="s">
        <v>12</v>
      </c>
      <c r="B28" s="1205"/>
      <c r="C28" s="1206">
        <v>750</v>
      </c>
      <c r="D28" s="1207"/>
      <c r="E28" s="1208"/>
      <c r="F28" s="1206">
        <v>750</v>
      </c>
      <c r="G28" s="1207"/>
      <c r="H28" s="1207"/>
      <c r="I28" s="1208"/>
    </row>
    <row r="29" spans="1:9" ht="32.25" customHeight="1" thickBot="1">
      <c r="A29" s="1202" t="str">
        <f>"Mdr. undervisningstillæg pr. "&amp;'Løntabel gældende fra'!D1&amp;""</f>
        <v>Mdr. undervisningstillæg pr. 01-04-2025</v>
      </c>
      <c r="B29" s="1203"/>
      <c r="C29" s="1209">
        <f>ROUND(IF(C28&lt;650,C28*E20,IF(AND(C28&gt;=650,C28&lt;700),650*E20+(C28-650)*E21,IF(AND(C28&gt;=700,C28&lt;750),650*E20+50*E21+(C28-700)*E22,IF(C28&gt;=750,650*E20+50*E21+50*E22+(C28-750)*E23,))))/12,2)</f>
        <v>2272.63</v>
      </c>
      <c r="D29" s="1210" t="e">
        <f t="shared" ref="D29:H29" si="2">IF(D28&lt;750,D28*F20,IF(AND(D28&gt;=750,D28&lt;800),750*F20+(D28-750)*F21,IF(AND(D28&gt;=800,D28&lt;835),750*F20+50*F21+(D28-800)*F22,IF(D28&gt;=835,750*F20+50*F21+35*F22+(D28-835)*F23,))))</f>
        <v>#VALUE!</v>
      </c>
      <c r="E29" s="1211">
        <f t="shared" si="2"/>
        <v>0</v>
      </c>
      <c r="F29" s="1209">
        <f>IF(F28&lt;750,F28*H20,IF(AND(F28&gt;=750,F28&lt;800),750*H20+(F28-750)*H21,IF(AND(F28&gt;=800,F28&lt;835),750*H20+50*H21+(F28-800)*H22,IF(F28&gt;=835,750*H20+50*H21+35*H22+(F28-835)*H23,))))/12</f>
        <v>1726.875</v>
      </c>
      <c r="G29" s="1210">
        <f t="shared" si="2"/>
        <v>0</v>
      </c>
      <c r="H29" s="1210">
        <f t="shared" si="2"/>
        <v>0</v>
      </c>
      <c r="I29" s="1211"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231" t="s">
        <v>281</v>
      </c>
      <c r="B31" s="1232"/>
      <c r="C31" s="1232"/>
      <c r="D31" s="1232"/>
      <c r="E31" s="1232"/>
      <c r="F31" s="1232"/>
      <c r="G31" s="1232"/>
      <c r="H31" s="1232"/>
      <c r="I31" s="1233"/>
    </row>
    <row r="32" spans="1:9" ht="20" customHeight="1">
      <c r="A32" s="1234" t="s">
        <v>224</v>
      </c>
      <c r="B32" s="1235"/>
      <c r="C32" s="1235"/>
      <c r="D32" s="1235"/>
      <c r="E32" s="1235"/>
      <c r="F32" s="1235"/>
      <c r="G32" s="1235"/>
      <c r="H32" s="1235"/>
      <c r="I32" s="1236"/>
    </row>
    <row r="33" spans="1:9" ht="20" customHeight="1" thickBot="1">
      <c r="A33" s="1242" t="s">
        <v>289</v>
      </c>
      <c r="B33" s="1243"/>
      <c r="C33" s="1243"/>
      <c r="D33" s="1243"/>
      <c r="E33" s="1243"/>
      <c r="F33" s="1243"/>
      <c r="G33" s="1243"/>
      <c r="H33" s="1243"/>
      <c r="I33" s="1244"/>
    </row>
    <row r="34" spans="1:9" ht="24" customHeight="1" thickBot="1">
      <c r="A34" s="1086" t="s">
        <v>102</v>
      </c>
      <c r="B34" s="1229" t="s">
        <v>4</v>
      </c>
      <c r="C34" s="1229"/>
      <c r="D34" s="1229"/>
      <c r="E34" s="1230"/>
      <c r="F34" s="1254" t="s">
        <v>5</v>
      </c>
      <c r="G34" s="1229"/>
      <c r="H34" s="1229"/>
      <c r="I34" s="1230"/>
    </row>
    <row r="35" spans="1:9" ht="24" customHeight="1" thickBot="1">
      <c r="A35" s="1103"/>
      <c r="B35" s="420" t="s">
        <v>7</v>
      </c>
      <c r="C35" s="421" t="s">
        <v>8</v>
      </c>
      <c r="D35" s="420" t="s">
        <v>10</v>
      </c>
      <c r="E35" s="422" t="s">
        <v>9</v>
      </c>
      <c r="F35" s="423" t="s">
        <v>7</v>
      </c>
      <c r="G35" s="424" t="s">
        <v>8</v>
      </c>
      <c r="H35" s="354" t="s">
        <v>10</v>
      </c>
      <c r="I35" s="425" t="s">
        <v>9</v>
      </c>
    </row>
    <row r="36" spans="1:9" ht="15" customHeight="1">
      <c r="A36" s="330">
        <v>1</v>
      </c>
      <c r="B36" s="414">
        <v>325</v>
      </c>
      <c r="C36" s="417">
        <v>575</v>
      </c>
      <c r="D36" s="414">
        <v>900</v>
      </c>
      <c r="E36" s="156">
        <v>1150</v>
      </c>
      <c r="F36" s="419">
        <v>375</v>
      </c>
      <c r="G36" s="160">
        <v>625</v>
      </c>
      <c r="H36" s="341">
        <v>1000</v>
      </c>
      <c r="I36" s="160">
        <v>1250</v>
      </c>
    </row>
    <row r="37" spans="1:9" ht="15" customHeight="1">
      <c r="A37" s="331">
        <v>2</v>
      </c>
      <c r="B37" s="415">
        <v>275</v>
      </c>
      <c r="C37" s="417">
        <v>475</v>
      </c>
      <c r="D37" s="415">
        <v>750</v>
      </c>
      <c r="E37" s="156">
        <v>950</v>
      </c>
      <c r="F37" s="339">
        <v>325</v>
      </c>
      <c r="G37" s="180">
        <v>575</v>
      </c>
      <c r="H37" s="344">
        <v>900</v>
      </c>
      <c r="I37" s="180">
        <v>1150</v>
      </c>
    </row>
    <row r="38" spans="1:9" ht="15" customHeight="1">
      <c r="A38" s="331">
        <v>3</v>
      </c>
      <c r="B38" s="415">
        <v>175</v>
      </c>
      <c r="C38" s="417">
        <v>325</v>
      </c>
      <c r="D38" s="415">
        <v>500</v>
      </c>
      <c r="E38" s="156">
        <v>625</v>
      </c>
      <c r="F38" s="339">
        <v>300</v>
      </c>
      <c r="G38" s="180">
        <v>525</v>
      </c>
      <c r="H38" s="344">
        <v>825</v>
      </c>
      <c r="I38" s="180">
        <v>1050</v>
      </c>
    </row>
    <row r="39" spans="1:9" ht="15" customHeight="1" thickBot="1">
      <c r="A39" s="332">
        <v>4</v>
      </c>
      <c r="B39" s="416">
        <v>175</v>
      </c>
      <c r="C39" s="418">
        <v>325</v>
      </c>
      <c r="D39" s="416">
        <v>500</v>
      </c>
      <c r="E39" s="157">
        <v>625</v>
      </c>
      <c r="F39" s="345">
        <v>300</v>
      </c>
      <c r="G39" s="161">
        <v>525</v>
      </c>
      <c r="H39" s="342">
        <v>825</v>
      </c>
      <c r="I39" s="161">
        <v>1050</v>
      </c>
    </row>
    <row r="40" spans="1:9" ht="24" customHeight="1" thickBot="1">
      <c r="A40" s="52"/>
      <c r="B40" s="52"/>
      <c r="C40" s="8"/>
      <c r="D40" s="8"/>
      <c r="E40" s="8"/>
      <c r="F40" s="8"/>
      <c r="G40" s="8"/>
      <c r="H40" s="8"/>
      <c r="I40" s="8"/>
    </row>
    <row r="41" spans="1:9" ht="20" customHeight="1">
      <c r="A41" s="1058" t="s">
        <v>282</v>
      </c>
      <c r="B41" s="1212"/>
      <c r="C41" s="1212"/>
      <c r="D41" s="1212"/>
      <c r="E41" s="1212"/>
      <c r="F41" s="1212"/>
      <c r="G41" s="1213"/>
      <c r="H41" s="58"/>
      <c r="I41" s="7"/>
    </row>
    <row r="42" spans="1:9" ht="20" customHeight="1" thickBot="1">
      <c r="A42" s="1068" t="s">
        <v>290</v>
      </c>
      <c r="B42" s="1069"/>
      <c r="C42" s="1069"/>
      <c r="D42" s="1069"/>
      <c r="E42" s="1069"/>
      <c r="F42" s="1069"/>
      <c r="G42" s="1070"/>
      <c r="H42" s="58"/>
      <c r="I42" s="7"/>
    </row>
    <row r="43" spans="1:9" ht="13" customHeight="1">
      <c r="A43" s="1085" t="s">
        <v>0</v>
      </c>
      <c r="B43" s="1056" t="s">
        <v>131</v>
      </c>
      <c r="C43" s="1115"/>
      <c r="D43" s="1056" t="s">
        <v>310</v>
      </c>
      <c r="E43" s="1057"/>
      <c r="F43" s="1056" t="s">
        <v>257</v>
      </c>
      <c r="G43" s="1115"/>
      <c r="H43" s="42"/>
      <c r="I43" s="7"/>
    </row>
    <row r="44" spans="1:9" ht="14" customHeight="1" thickBot="1">
      <c r="A44" s="1103"/>
      <c r="B44" s="1116">
        <f>$D$19</f>
        <v>40999</v>
      </c>
      <c r="C44" s="1117"/>
      <c r="D44" s="1116" t="str">
        <f>'Løntabel gældende fra'!$D$1</f>
        <v>01-04-2025</v>
      </c>
      <c r="E44" s="1109"/>
      <c r="F44" s="1116" t="str">
        <f>'Løntabel gældende fra'!$D$1</f>
        <v>01-04-2025</v>
      </c>
      <c r="G44" s="1117"/>
      <c r="H44" s="42"/>
      <c r="I44" s="7"/>
    </row>
    <row r="45" spans="1:9" ht="15" customHeight="1">
      <c r="A45" s="330">
        <v>1</v>
      </c>
      <c r="B45" s="1151">
        <v>5200</v>
      </c>
      <c r="C45" s="1151"/>
      <c r="D45" s="1149">
        <f>ROUND(B45+(B45*'Løntabel gældende fra'!$D$7%),2)</f>
        <v>6412.09</v>
      </c>
      <c r="E45" s="1150"/>
      <c r="F45" s="1101">
        <f>ROUND(D45/12,2)</f>
        <v>534.34</v>
      </c>
      <c r="G45" s="1102"/>
      <c r="H45" s="10"/>
      <c r="I45" s="7"/>
    </row>
    <row r="46" spans="1:9" ht="15" customHeight="1">
      <c r="A46" s="331">
        <v>2</v>
      </c>
      <c r="B46" s="1061">
        <v>7900</v>
      </c>
      <c r="C46" s="1061"/>
      <c r="D46" s="1135">
        <f>ROUND(B46+(B46*'Løntabel gældende fra'!$D$7%),2)</f>
        <v>9741.4500000000007</v>
      </c>
      <c r="E46" s="1136"/>
      <c r="F46" s="1062">
        <f>ROUND(D46/12,2)</f>
        <v>811.79</v>
      </c>
      <c r="G46" s="1063"/>
      <c r="H46" s="10"/>
      <c r="I46" s="7"/>
    </row>
    <row r="47" spans="1:9" ht="15" customHeight="1" thickBot="1">
      <c r="A47" s="332">
        <v>3</v>
      </c>
      <c r="B47" s="1155">
        <v>7900</v>
      </c>
      <c r="C47" s="1155"/>
      <c r="D47" s="1130">
        <f>ROUND(B47+(B47*'Løntabel gældende fra'!$D$7%),2)</f>
        <v>9741.4500000000007</v>
      </c>
      <c r="E47" s="1131"/>
      <c r="F47" s="1153">
        <f>ROUND(D47/12,2)</f>
        <v>811.79</v>
      </c>
      <c r="G47" s="1154"/>
      <c r="H47" s="10"/>
      <c r="I47" s="7"/>
    </row>
    <row r="48" spans="1:9" s="57" customFormat="1" ht="24" customHeight="1" thickBot="1">
      <c r="A48" s="42"/>
      <c r="B48" s="54"/>
      <c r="C48" s="42"/>
      <c r="D48" s="55"/>
      <c r="E48" s="42"/>
      <c r="F48" s="55"/>
      <c r="G48" s="42"/>
      <c r="H48" s="42"/>
      <c r="I48" s="56"/>
    </row>
    <row r="49" spans="1:17" ht="20" customHeight="1">
      <c r="A49" s="1058" t="s">
        <v>385</v>
      </c>
      <c r="B49" s="1059"/>
      <c r="C49" s="1059"/>
      <c r="D49" s="1059"/>
      <c r="E49" s="1059"/>
      <c r="F49" s="1059"/>
      <c r="G49" s="1060"/>
      <c r="H49" s="59"/>
      <c r="K49" s="16"/>
      <c r="L49" s="16"/>
      <c r="M49" s="16"/>
      <c r="N49" s="16"/>
      <c r="O49" s="16"/>
      <c r="P49" s="16"/>
      <c r="Q49" s="16"/>
    </row>
    <row r="50" spans="1:17" ht="20" customHeight="1" thickBot="1">
      <c r="A50" s="1068" t="s">
        <v>291</v>
      </c>
      <c r="B50" s="1069"/>
      <c r="C50" s="1069"/>
      <c r="D50" s="1069"/>
      <c r="E50" s="1069"/>
      <c r="F50" s="1069"/>
      <c r="G50" s="1070"/>
      <c r="H50" s="59"/>
      <c r="K50" s="16"/>
      <c r="L50" s="16"/>
      <c r="M50" s="16"/>
      <c r="N50" s="16"/>
      <c r="O50" s="16"/>
      <c r="P50" s="16"/>
      <c r="Q50" s="16"/>
    </row>
    <row r="51" spans="1:17" ht="16" customHeight="1">
      <c r="A51" s="1085" t="s">
        <v>0</v>
      </c>
      <c r="B51" s="1064" t="s">
        <v>131</v>
      </c>
      <c r="C51" s="1065"/>
      <c r="D51" s="1064" t="s">
        <v>310</v>
      </c>
      <c r="E51" s="1065"/>
      <c r="F51" s="1064" t="s">
        <v>257</v>
      </c>
      <c r="G51" s="1065"/>
      <c r="H51" s="42"/>
      <c r="K51" s="16"/>
      <c r="L51" s="16"/>
      <c r="M51" s="16"/>
      <c r="N51" s="16"/>
      <c r="O51" s="16"/>
      <c r="P51" s="16"/>
      <c r="Q51" s="16"/>
    </row>
    <row r="52" spans="1:17" ht="16" customHeight="1" thickBot="1">
      <c r="A52" s="1086"/>
      <c r="B52" s="1066">
        <f>C9</f>
        <v>40999</v>
      </c>
      <c r="C52" s="1067"/>
      <c r="D52" s="1132" t="str">
        <f>'Løntabel gældende fra'!D1</f>
        <v>01-04-2025</v>
      </c>
      <c r="E52" s="1067"/>
      <c r="F52" s="1132" t="str">
        <f>'Løntabel gældende fra'!D1</f>
        <v>01-04-2025</v>
      </c>
      <c r="G52" s="1067"/>
      <c r="H52" s="42"/>
      <c r="K52" s="16"/>
      <c r="L52" s="16"/>
      <c r="M52" s="16"/>
      <c r="N52" s="16"/>
      <c r="O52" s="16"/>
      <c r="P52" s="16"/>
      <c r="Q52" s="16"/>
    </row>
    <row r="53" spans="1:17" ht="15" customHeight="1">
      <c r="A53" s="330">
        <v>1</v>
      </c>
      <c r="B53" s="1152">
        <v>2800</v>
      </c>
      <c r="C53" s="1152"/>
      <c r="D53" s="1054">
        <f>ROUND(B53+(B53*'Løntabel gældende fra'!$D$7%),2)</f>
        <v>3452.67</v>
      </c>
      <c r="E53" s="1055"/>
      <c r="F53" s="1149">
        <f>ROUND(D53/12,2)</f>
        <v>287.72000000000003</v>
      </c>
      <c r="G53" s="1150"/>
      <c r="H53" s="10"/>
      <c r="K53" s="16"/>
      <c r="L53" s="16"/>
      <c r="M53" s="16"/>
      <c r="N53" s="16"/>
      <c r="O53" s="16"/>
      <c r="P53" s="16"/>
      <c r="Q53" s="16"/>
    </row>
    <row r="54" spans="1:17" ht="15" customHeight="1">
      <c r="A54" s="331">
        <v>2</v>
      </c>
      <c r="B54" s="1061">
        <v>2800</v>
      </c>
      <c r="C54" s="1061"/>
      <c r="D54" s="1062">
        <f>ROUND(B54+(B54*'Løntabel gældende fra'!$D$7%),2)</f>
        <v>3452.67</v>
      </c>
      <c r="E54" s="1063"/>
      <c r="F54" s="1133">
        <f t="shared" ref="F54:F56" si="3">ROUND(D54/12,2)</f>
        <v>287.72000000000003</v>
      </c>
      <c r="G54" s="1134"/>
      <c r="H54" s="10"/>
      <c r="K54" s="16"/>
      <c r="L54" s="16"/>
      <c r="M54" s="16"/>
      <c r="N54" s="16"/>
      <c r="O54" s="16"/>
      <c r="P54" s="16"/>
      <c r="Q54" s="16"/>
    </row>
    <row r="55" spans="1:17" ht="15" customHeight="1">
      <c r="A55" s="333">
        <v>3</v>
      </c>
      <c r="B55" s="1061">
        <v>2800</v>
      </c>
      <c r="C55" s="1061"/>
      <c r="D55" s="1062">
        <f>ROUND(B55+(B55*'Løntabel gældende fra'!$D$7%),2)</f>
        <v>3452.67</v>
      </c>
      <c r="E55" s="1063"/>
      <c r="F55" s="1133">
        <f t="shared" si="3"/>
        <v>287.72000000000003</v>
      </c>
      <c r="G55" s="1134"/>
      <c r="H55" s="10"/>
      <c r="K55" s="16"/>
      <c r="L55" s="16"/>
      <c r="M55" s="16"/>
      <c r="N55" s="16"/>
      <c r="O55" s="16"/>
      <c r="P55" s="16"/>
      <c r="Q55" s="16"/>
    </row>
    <row r="56" spans="1:17" ht="15" customHeight="1" thickBot="1">
      <c r="A56" s="332">
        <v>4</v>
      </c>
      <c r="B56" s="1155">
        <v>2800</v>
      </c>
      <c r="C56" s="1155"/>
      <c r="D56" s="1153">
        <f>ROUND(B56+(B56*'Løntabel gældende fra'!$D$7%),2)</f>
        <v>3452.67</v>
      </c>
      <c r="E56" s="1154"/>
      <c r="F56" s="1130">
        <f t="shared" si="3"/>
        <v>287.72000000000003</v>
      </c>
      <c r="G56" s="1131"/>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058" t="s">
        <v>544</v>
      </c>
      <c r="B58" s="1059"/>
      <c r="C58" s="1059"/>
      <c r="D58" s="1059"/>
      <c r="E58" s="1059"/>
      <c r="F58" s="1059"/>
      <c r="G58" s="1060"/>
      <c r="H58" s="59"/>
      <c r="K58" s="16"/>
      <c r="L58" s="16"/>
      <c r="M58" s="16"/>
      <c r="N58" s="16"/>
      <c r="O58" s="16"/>
      <c r="P58" s="16"/>
      <c r="Q58" s="16"/>
    </row>
    <row r="59" spans="1:17" ht="20" customHeight="1" thickBot="1">
      <c r="A59" s="1068" t="s">
        <v>291</v>
      </c>
      <c r="B59" s="1069"/>
      <c r="C59" s="1069"/>
      <c r="D59" s="1069"/>
      <c r="E59" s="1069"/>
      <c r="F59" s="1069"/>
      <c r="G59" s="1070"/>
      <c r="H59" s="59"/>
      <c r="K59" s="16"/>
      <c r="L59" s="16"/>
      <c r="M59" s="16"/>
      <c r="N59" s="16"/>
      <c r="O59" s="16"/>
      <c r="P59" s="16"/>
      <c r="Q59" s="16"/>
    </row>
    <row r="60" spans="1:17" ht="16" customHeight="1">
      <c r="A60" s="1085" t="s">
        <v>0</v>
      </c>
      <c r="B60" s="1064" t="s">
        <v>131</v>
      </c>
      <c r="C60" s="1065"/>
      <c r="D60" s="1064" t="s">
        <v>310</v>
      </c>
      <c r="E60" s="1065"/>
      <c r="F60" s="1064" t="s">
        <v>257</v>
      </c>
      <c r="G60" s="1065"/>
      <c r="H60" s="42"/>
      <c r="K60" s="16"/>
      <c r="L60" s="16"/>
      <c r="M60" s="16"/>
      <c r="N60" s="16"/>
      <c r="O60" s="16"/>
      <c r="P60" s="16"/>
      <c r="Q60" s="16"/>
    </row>
    <row r="61" spans="1:17" ht="16" customHeight="1" thickBot="1">
      <c r="A61" s="1086"/>
      <c r="B61" s="1066">
        <f>B52</f>
        <v>40999</v>
      </c>
      <c r="C61" s="1067"/>
      <c r="D61" s="1132" t="str">
        <f>'Løntabel gældende fra'!D1</f>
        <v>01-04-2025</v>
      </c>
      <c r="E61" s="1067"/>
      <c r="F61" s="1132" t="str">
        <f>'Løntabel gældende fra'!D1</f>
        <v>01-04-2025</v>
      </c>
      <c r="G61" s="1067"/>
      <c r="H61" s="42"/>
      <c r="K61" s="16"/>
      <c r="L61" s="16"/>
      <c r="M61" s="16"/>
      <c r="N61" s="16"/>
      <c r="O61" s="16"/>
      <c r="P61" s="16"/>
      <c r="Q61" s="16"/>
    </row>
    <row r="62" spans="1:17" ht="15" customHeight="1">
      <c r="A62" s="330">
        <v>1</v>
      </c>
      <c r="B62" s="1152">
        <v>4100</v>
      </c>
      <c r="C62" s="1152"/>
      <c r="D62" s="1054">
        <f>ROUND(B62+(B62*'Løntabel gældende fra'!$D$7%),2)</f>
        <v>5055.6899999999996</v>
      </c>
      <c r="E62" s="1055"/>
      <c r="F62" s="1152">
        <f>ROUND(D62/12,2)</f>
        <v>421.31</v>
      </c>
      <c r="G62" s="1150"/>
      <c r="H62" s="10"/>
      <c r="K62" s="16"/>
      <c r="L62" s="16"/>
      <c r="M62" s="16"/>
      <c r="N62" s="16"/>
      <c r="O62" s="16"/>
      <c r="P62" s="16"/>
      <c r="Q62" s="16"/>
    </row>
    <row r="63" spans="1:17" ht="15" customHeight="1">
      <c r="A63" s="331">
        <v>2</v>
      </c>
      <c r="B63" s="1061">
        <v>4100</v>
      </c>
      <c r="C63" s="1061"/>
      <c r="D63" s="1062">
        <f>ROUND(B63+(B63*'Løntabel gældende fra'!$D$7%),2)</f>
        <v>5055.6899999999996</v>
      </c>
      <c r="E63" s="1063"/>
      <c r="F63" s="1151">
        <f>ROUND(D63/12,2)</f>
        <v>421.31</v>
      </c>
      <c r="G63" s="1136"/>
      <c r="H63" s="10"/>
      <c r="K63" s="16"/>
      <c r="L63" s="16"/>
      <c r="M63" s="16"/>
      <c r="N63" s="16"/>
      <c r="O63" s="16"/>
      <c r="P63" s="16"/>
      <c r="Q63" s="16"/>
    </row>
    <row r="64" spans="1:17" ht="15" customHeight="1">
      <c r="A64" s="333">
        <v>3</v>
      </c>
      <c r="B64" s="1061">
        <v>4100</v>
      </c>
      <c r="C64" s="1061"/>
      <c r="D64" s="1062">
        <f>ROUND(B64+(B64*'Løntabel gældende fra'!$D$7%),2)</f>
        <v>5055.6899999999996</v>
      </c>
      <c r="E64" s="1063"/>
      <c r="F64" s="1151">
        <f>ROUND(D64/12,2)</f>
        <v>421.31</v>
      </c>
      <c r="G64" s="1136"/>
      <c r="H64" s="10"/>
      <c r="K64" s="16"/>
      <c r="L64" s="16"/>
      <c r="M64" s="16"/>
      <c r="N64" s="16"/>
      <c r="O64" s="16"/>
      <c r="P64" s="16"/>
      <c r="Q64" s="16"/>
    </row>
    <row r="65" spans="1:17" ht="15" customHeight="1" thickBot="1">
      <c r="A65" s="332">
        <v>4</v>
      </c>
      <c r="B65" s="1155">
        <v>4100</v>
      </c>
      <c r="C65" s="1155"/>
      <c r="D65" s="1153">
        <f>ROUND(B65+(B65*'Løntabel gældende fra'!$D$7%),2)</f>
        <v>5055.6899999999996</v>
      </c>
      <c r="E65" s="1154"/>
      <c r="F65" s="1155">
        <f>ROUND(D65/12,2)</f>
        <v>421.31</v>
      </c>
      <c r="G65" s="1131"/>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078" t="s">
        <v>283</v>
      </c>
      <c r="B67" s="1079"/>
      <c r="C67" s="1079"/>
      <c r="D67" s="1079"/>
      <c r="E67" s="1079"/>
      <c r="F67" s="1079"/>
      <c r="G67" s="1079"/>
      <c r="H67" s="1079"/>
      <c r="I67" s="1080"/>
    </row>
    <row r="68" spans="1:17" ht="20" customHeight="1" thickBot="1">
      <c r="A68" s="1158" t="s">
        <v>292</v>
      </c>
      <c r="B68" s="1159"/>
      <c r="C68" s="1159"/>
      <c r="D68" s="1159"/>
      <c r="E68" s="1159"/>
      <c r="F68" s="1159"/>
      <c r="G68" s="1159"/>
      <c r="H68" s="1159"/>
      <c r="I68" s="1160"/>
    </row>
    <row r="69" spans="1:17" ht="28" customHeight="1">
      <c r="A69" s="1180" t="s">
        <v>271</v>
      </c>
      <c r="B69" s="1181"/>
      <c r="C69" s="1181"/>
      <c r="D69" s="1181"/>
      <c r="E69" s="1181"/>
      <c r="F69" s="1182"/>
      <c r="G69" s="313" t="s">
        <v>131</v>
      </c>
      <c r="H69" s="313" t="s">
        <v>101</v>
      </c>
      <c r="I69" s="572" t="s">
        <v>257</v>
      </c>
    </row>
    <row r="70" spans="1:17" ht="15" customHeight="1" thickBot="1">
      <c r="A70" s="1180"/>
      <c r="B70" s="1181"/>
      <c r="C70" s="1181"/>
      <c r="D70" s="1181"/>
      <c r="E70" s="1181"/>
      <c r="F70" s="1182"/>
      <c r="G70" s="314">
        <f>C9</f>
        <v>40999</v>
      </c>
      <c r="H70" s="314">
        <f>C9</f>
        <v>40999</v>
      </c>
      <c r="I70" s="314" t="str">
        <f>'Løntabel gældende fra'!$D$1</f>
        <v>01-04-2025</v>
      </c>
    </row>
    <row r="71" spans="1:17" ht="15" customHeight="1" thickBot="1">
      <c r="A71" s="1183"/>
      <c r="B71" s="1184"/>
      <c r="C71" s="1184"/>
      <c r="D71" s="1184"/>
      <c r="E71" s="1184"/>
      <c r="F71" s="1185"/>
      <c r="G71" s="158">
        <v>19300</v>
      </c>
      <c r="H71" s="162">
        <f>ROUND(G71/12,2)</f>
        <v>1608.33</v>
      </c>
      <c r="I71" s="905">
        <f>ROUND(H71+(H71*'Løntabel gældende fra'!$D$7%),2)</f>
        <v>1983.22</v>
      </c>
    </row>
    <row r="72" spans="1:17" ht="24" customHeight="1" thickBot="1">
      <c r="A72" s="7"/>
      <c r="B72" s="7"/>
      <c r="C72" s="7" t="s">
        <v>16</v>
      </c>
      <c r="D72" s="7"/>
      <c r="E72" s="7"/>
      <c r="F72" s="7"/>
      <c r="G72" s="7"/>
      <c r="H72" s="7"/>
      <c r="I72" s="7"/>
    </row>
    <row r="73" spans="1:17" ht="20" customHeight="1">
      <c r="A73" s="1078" t="s">
        <v>285</v>
      </c>
      <c r="B73" s="1079"/>
      <c r="C73" s="1079"/>
      <c r="D73" s="1079"/>
      <c r="E73" s="1079"/>
      <c r="F73" s="1079"/>
      <c r="G73" s="1079"/>
      <c r="H73" s="1079"/>
      <c r="I73" s="1080"/>
    </row>
    <row r="74" spans="1:17" ht="20" customHeight="1" thickBot="1">
      <c r="A74" s="1158" t="s">
        <v>284</v>
      </c>
      <c r="B74" s="1159"/>
      <c r="C74" s="1159"/>
      <c r="D74" s="1159"/>
      <c r="E74" s="1159"/>
      <c r="F74" s="1159"/>
      <c r="G74" s="1159"/>
      <c r="H74" s="1159"/>
      <c r="I74" s="1160"/>
    </row>
    <row r="75" spans="1:17" ht="28" customHeight="1">
      <c r="A75" s="1124" t="s">
        <v>398</v>
      </c>
      <c r="B75" s="1125"/>
      <c r="C75" s="1125"/>
      <c r="D75" s="1125"/>
      <c r="E75" s="1125"/>
      <c r="F75" s="1125"/>
      <c r="G75" s="1126"/>
      <c r="H75" s="397" t="s">
        <v>311</v>
      </c>
      <c r="I75" s="319" t="s">
        <v>312</v>
      </c>
    </row>
    <row r="76" spans="1:17" ht="34" customHeight="1" thickBot="1">
      <c r="A76" s="1127"/>
      <c r="B76" s="1128"/>
      <c r="C76" s="1128"/>
      <c r="D76" s="1128"/>
      <c r="E76" s="1128"/>
      <c r="F76" s="1128"/>
      <c r="G76" s="1129"/>
      <c r="H76" s="314">
        <f>C9</f>
        <v>40999</v>
      </c>
      <c r="I76" s="314" t="str">
        <f>'Løntabel gældende fra'!$D$1</f>
        <v>01-04-2025</v>
      </c>
    </row>
    <row r="77" spans="1:17" ht="15" customHeight="1" thickBot="1">
      <c r="A77" s="1214" t="s">
        <v>14</v>
      </c>
      <c r="B77" s="1215"/>
      <c r="C77" s="1215"/>
      <c r="D77" s="1215"/>
      <c r="E77" s="1215"/>
      <c r="F77" s="1215"/>
      <c r="G77" s="1215"/>
      <c r="H77" s="162">
        <v>19</v>
      </c>
      <c r="I77" s="163">
        <f>ROUND(H77+H77*'Løntabel gældende fra'!$D$7%,2)</f>
        <v>23.43</v>
      </c>
    </row>
    <row r="78" spans="1:17" ht="24" customHeight="1" thickBot="1">
      <c r="A78" s="7"/>
      <c r="B78" s="7"/>
      <c r="C78" s="7"/>
      <c r="D78" s="7"/>
      <c r="E78" s="7"/>
      <c r="F78" s="7"/>
      <c r="G78" s="7"/>
      <c r="H78" s="7"/>
      <c r="I78" s="7"/>
    </row>
    <row r="79" spans="1:17" ht="20" customHeight="1">
      <c r="A79" s="1078" t="s">
        <v>465</v>
      </c>
      <c r="B79" s="1079"/>
      <c r="C79" s="1079"/>
      <c r="D79" s="1079"/>
      <c r="E79" s="1079"/>
      <c r="F79" s="1079"/>
      <c r="G79" s="1079"/>
      <c r="H79" s="1079"/>
      <c r="I79" s="1080"/>
    </row>
    <row r="80" spans="1:17" ht="20" customHeight="1" thickBot="1">
      <c r="A80" s="1158" t="s">
        <v>463</v>
      </c>
      <c r="B80" s="1159"/>
      <c r="C80" s="1159"/>
      <c r="D80" s="1159"/>
      <c r="E80" s="1159"/>
      <c r="F80" s="1159"/>
      <c r="G80" s="1159"/>
      <c r="H80" s="1159"/>
      <c r="I80" s="1160"/>
    </row>
    <row r="81" spans="1:22" ht="31" customHeight="1">
      <c r="A81" s="1171" t="s">
        <v>466</v>
      </c>
      <c r="B81" s="1172"/>
      <c r="C81" s="1172"/>
      <c r="D81" s="1172"/>
      <c r="E81" s="1172"/>
      <c r="F81" s="1172"/>
      <c r="G81" s="1173"/>
      <c r="H81" s="313" t="s">
        <v>311</v>
      </c>
      <c r="I81" s="572" t="s">
        <v>312</v>
      </c>
    </row>
    <row r="82" spans="1:22" ht="15" customHeight="1" thickBot="1">
      <c r="A82" s="1174"/>
      <c r="B82" s="1175"/>
      <c r="C82" s="1175"/>
      <c r="D82" s="1175"/>
      <c r="E82" s="1175"/>
      <c r="F82" s="1175"/>
      <c r="G82" s="1176"/>
      <c r="H82" s="314">
        <f>H76</f>
        <v>40999</v>
      </c>
      <c r="I82" s="314" t="str">
        <f>'Løntabel gældende fra'!$D$1</f>
        <v>01-04-2025</v>
      </c>
    </row>
    <row r="83" spans="1:22" ht="15" customHeight="1" thickBot="1">
      <c r="A83" s="1177" t="s">
        <v>464</v>
      </c>
      <c r="B83" s="1178"/>
      <c r="C83" s="1178"/>
      <c r="D83" s="1178"/>
      <c r="E83" s="1178"/>
      <c r="F83" s="1178"/>
      <c r="G83" s="1179"/>
      <c r="H83" s="158">
        <v>267.31</v>
      </c>
      <c r="I83" s="159">
        <f>ROUND(H83+(H83*'Løntabel gældende fra'!$D$7%),2)</f>
        <v>329.62</v>
      </c>
    </row>
    <row r="84" spans="1:22" ht="15" customHeight="1" thickBot="1">
      <c r="A84" s="1168"/>
      <c r="B84" s="1169"/>
      <c r="C84" s="1169"/>
      <c r="D84" s="1169"/>
      <c r="E84" s="1169"/>
      <c r="F84" s="1169"/>
      <c r="G84" s="1169"/>
      <c r="H84" s="1169"/>
      <c r="I84" s="1170"/>
    </row>
    <row r="85" spans="1:22" ht="28" customHeight="1">
      <c r="A85" s="1078" t="s">
        <v>286</v>
      </c>
      <c r="B85" s="1079"/>
      <c r="C85" s="1079"/>
      <c r="D85" s="1079"/>
      <c r="E85" s="1079"/>
      <c r="F85" s="1079"/>
      <c r="G85" s="1079"/>
      <c r="H85" s="1079"/>
      <c r="I85" s="1080"/>
    </row>
    <row r="86" spans="1:22" ht="25" customHeight="1" thickBot="1">
      <c r="A86" s="1158" t="s">
        <v>284</v>
      </c>
      <c r="B86" s="1159"/>
      <c r="C86" s="1159"/>
      <c r="D86" s="1159"/>
      <c r="E86" s="1159"/>
      <c r="F86" s="1159"/>
      <c r="G86" s="1159"/>
      <c r="H86" s="1159"/>
      <c r="I86" s="1160"/>
      <c r="K86" s="16"/>
      <c r="L86" s="16"/>
      <c r="M86" s="16"/>
      <c r="N86" s="16"/>
      <c r="O86" s="16"/>
      <c r="P86" s="16"/>
      <c r="Q86" s="16"/>
    </row>
    <row r="87" spans="1:22" ht="27.75" customHeight="1">
      <c r="A87" s="1245"/>
      <c r="B87" s="1246"/>
      <c r="C87" s="1246"/>
      <c r="D87" s="1246"/>
      <c r="E87" s="1246"/>
      <c r="F87" s="1246"/>
      <c r="G87" s="1247"/>
      <c r="H87" s="315" t="s">
        <v>98</v>
      </c>
      <c r="I87" s="316" t="s">
        <v>103</v>
      </c>
      <c r="K87" s="16"/>
      <c r="L87" s="16"/>
      <c r="M87" s="16"/>
      <c r="N87" s="16"/>
      <c r="O87" s="16"/>
      <c r="P87" s="16"/>
      <c r="Q87" s="16"/>
    </row>
    <row r="88" spans="1:22" ht="16.5" customHeight="1" thickBot="1">
      <c r="A88" s="1248"/>
      <c r="B88" s="1249"/>
      <c r="C88" s="1249"/>
      <c r="D88" s="1249"/>
      <c r="E88" s="1249"/>
      <c r="F88" s="1249"/>
      <c r="G88" s="1250"/>
      <c r="H88" s="317">
        <f>C9</f>
        <v>40999</v>
      </c>
      <c r="I88" s="314" t="str">
        <f>'Løntabel gældende fra'!$D$1</f>
        <v>01-04-2025</v>
      </c>
      <c r="K88" s="16"/>
      <c r="L88" s="16"/>
      <c r="M88" s="16"/>
      <c r="N88" s="16"/>
      <c r="O88" s="16"/>
      <c r="P88" s="16"/>
      <c r="Q88" s="16"/>
    </row>
    <row r="89" spans="1:22" customFormat="1" ht="24" customHeight="1">
      <c r="A89" s="1251" t="s">
        <v>18</v>
      </c>
      <c r="B89" s="1252"/>
      <c r="C89" s="1252"/>
      <c r="D89" s="1252"/>
      <c r="E89" s="1252"/>
      <c r="F89" s="1252"/>
      <c r="G89" s="1253"/>
      <c r="H89" s="198">
        <v>6.59</v>
      </c>
      <c r="I89" s="198">
        <f>ROUND(H89+H89*'Løntabel gældende fra'!$D$7%,2)</f>
        <v>8.1300000000000008</v>
      </c>
    </row>
    <row r="90" spans="1:22" customFormat="1" ht="24" customHeight="1">
      <c r="A90" s="1165" t="s">
        <v>17</v>
      </c>
      <c r="B90" s="1166"/>
      <c r="C90" s="1166"/>
      <c r="D90" s="1166"/>
      <c r="E90" s="1166"/>
      <c r="F90" s="1166"/>
      <c r="G90" s="1167"/>
      <c r="H90" s="906">
        <v>61.22</v>
      </c>
      <c r="I90" s="906">
        <f>ROUND(H90+H90*'Løntabel gældende fra'!$D$7%,2)</f>
        <v>75.489999999999995</v>
      </c>
    </row>
    <row r="91" spans="1:22" customFormat="1" ht="24" customHeight="1">
      <c r="A91" s="1165" t="s">
        <v>479</v>
      </c>
      <c r="B91" s="1166"/>
      <c r="C91" s="1166"/>
      <c r="D91" s="1166"/>
      <c r="E91" s="1166"/>
      <c r="F91" s="1166"/>
      <c r="G91" s="1167"/>
      <c r="H91" s="906">
        <v>163.63999999999999</v>
      </c>
      <c r="I91" s="906">
        <f>ROUND(H91+H91*'Løntabel gældende fra'!$D$7%,2)</f>
        <v>201.78</v>
      </c>
    </row>
    <row r="92" spans="1:22" customFormat="1" ht="42" customHeight="1" thickBot="1">
      <c r="A92" s="1162" t="s">
        <v>480</v>
      </c>
      <c r="B92" s="1163"/>
      <c r="C92" s="1163"/>
      <c r="D92" s="1163"/>
      <c r="E92" s="1163"/>
      <c r="F92" s="1163"/>
      <c r="G92" s="1164"/>
      <c r="H92" s="199">
        <v>372.2</v>
      </c>
      <c r="I92" s="199">
        <f>ROUND(H92+H92*'Løntabel gældende fra'!$D$7%,2)</f>
        <v>458.96</v>
      </c>
    </row>
    <row r="93" spans="1:22" s="509" customFormat="1" ht="47" customHeight="1" thickBot="1">
      <c r="A93" s="1075" t="s">
        <v>467</v>
      </c>
      <c r="B93" s="1076"/>
      <c r="C93" s="1076"/>
      <c r="D93" s="1076"/>
      <c r="E93" s="1076"/>
      <c r="F93" s="1076"/>
      <c r="G93" s="1076"/>
      <c r="H93" s="1076"/>
      <c r="I93" s="1077"/>
      <c r="J93" s="510"/>
      <c r="K93" s="510"/>
      <c r="L93" s="510"/>
      <c r="M93" s="510"/>
      <c r="N93" s="510"/>
      <c r="O93" s="510"/>
      <c r="P93" s="510"/>
      <c r="Q93" s="510"/>
      <c r="R93" s="510"/>
      <c r="S93" s="510"/>
      <c r="T93" s="510"/>
      <c r="U93" s="510"/>
      <c r="V93" s="510"/>
    </row>
    <row r="94" spans="1:22" customFormat="1" ht="34" customHeight="1" thickBot="1">
      <c r="A94" s="1075" t="s">
        <v>468</v>
      </c>
      <c r="B94" s="1076"/>
      <c r="C94" s="1076"/>
      <c r="D94" s="1076"/>
      <c r="E94" s="1076"/>
      <c r="F94" s="1076"/>
      <c r="G94" s="1076"/>
      <c r="H94" s="1076"/>
      <c r="I94" s="1077"/>
    </row>
    <row r="95" spans="1:22" customFormat="1" ht="15" customHeight="1" thickBot="1">
      <c r="A95" s="69"/>
      <c r="B95" s="69"/>
      <c r="C95" s="69"/>
      <c r="D95" s="69"/>
      <c r="E95" s="69"/>
      <c r="F95" s="69"/>
      <c r="G95" s="69"/>
      <c r="H95" s="69"/>
      <c r="I95" s="69"/>
    </row>
    <row r="96" spans="1:22" customFormat="1" ht="24" customHeight="1" thickBot="1">
      <c r="A96" s="1091" t="s">
        <v>69</v>
      </c>
      <c r="B96" s="1092"/>
      <c r="C96" s="1092"/>
      <c r="D96" s="1092"/>
      <c r="E96" s="1092"/>
      <c r="F96" s="1092"/>
      <c r="G96" s="1145"/>
      <c r="H96" s="58"/>
    </row>
    <row r="97" spans="1:22" s="509" customFormat="1" ht="24" customHeight="1" thickBot="1">
      <c r="A97" s="1118" t="s">
        <v>70</v>
      </c>
      <c r="B97" s="1119"/>
      <c r="C97" s="1120"/>
      <c r="D97" s="1239">
        <v>40999</v>
      </c>
      <c r="E97" s="1156"/>
      <c r="F97" s="1156" t="str">
        <f>'Løntabel gældende fra'!$D$1</f>
        <v>01-04-2025</v>
      </c>
      <c r="G97" s="1157"/>
      <c r="H97" s="60"/>
      <c r="I97"/>
      <c r="J97" s="510"/>
      <c r="K97" s="510"/>
      <c r="L97" s="510"/>
      <c r="M97" s="510"/>
      <c r="N97" s="510"/>
      <c r="O97" s="510"/>
      <c r="P97" s="510"/>
      <c r="Q97" s="510"/>
      <c r="R97" s="510"/>
      <c r="S97" s="510"/>
      <c r="T97" s="510"/>
      <c r="U97" s="510"/>
      <c r="V97" s="510"/>
    </row>
    <row r="98" spans="1:22" customFormat="1" ht="15" customHeight="1" thickBot="1">
      <c r="A98" s="1121"/>
      <c r="B98" s="1122"/>
      <c r="C98" s="1123"/>
      <c r="D98" s="1095" t="s">
        <v>287</v>
      </c>
      <c r="E98" s="1096"/>
      <c r="F98" s="1095" t="s">
        <v>287</v>
      </c>
      <c r="G98" s="1096"/>
      <c r="H98" s="510"/>
      <c r="I98" s="510"/>
    </row>
    <row r="99" spans="1:22" customFormat="1" ht="15" customHeight="1">
      <c r="A99" s="164" t="s">
        <v>71</v>
      </c>
      <c r="B99" s="165"/>
      <c r="C99" s="166"/>
      <c r="D99" s="167">
        <v>236</v>
      </c>
      <c r="E99" s="167">
        <v>334</v>
      </c>
      <c r="F99" s="511">
        <f>ROUND(D99+D99*'Løntabel gældende fra'!$D$7%,2)</f>
        <v>291.01</v>
      </c>
      <c r="G99" s="512">
        <f>ROUND(E99+E99*'Løntabel gældende fra'!$D$7%,2)</f>
        <v>411.85</v>
      </c>
      <c r="H99" s="53"/>
    </row>
    <row r="100" spans="1:22" ht="24" customHeight="1" thickBot="1">
      <c r="A100" s="119" t="s">
        <v>73</v>
      </c>
      <c r="B100" s="120"/>
      <c r="C100" s="168"/>
      <c r="D100" s="169">
        <v>170</v>
      </c>
      <c r="E100" s="169">
        <v>269</v>
      </c>
      <c r="F100" s="170">
        <f>ROUND(D100+D100*'Løntabel gældende fra'!$D$7%,2)</f>
        <v>209.63</v>
      </c>
      <c r="G100" s="171">
        <f>ROUND(E100+E100*'Løntabel gældende fra'!$D$7%,2)</f>
        <v>331.7</v>
      </c>
      <c r="H100" s="53"/>
      <c r="I100"/>
    </row>
    <row r="101" spans="1:22" customFormat="1" ht="24" customHeight="1" thickBot="1">
      <c r="A101" s="1056" t="s">
        <v>72</v>
      </c>
      <c r="B101" s="1057"/>
      <c r="C101" s="1115"/>
      <c r="D101" s="1255">
        <f>D97</f>
        <v>40999</v>
      </c>
      <c r="E101" s="1256"/>
      <c r="F101" s="1161" t="str">
        <f>'Løntabel gældende fra'!$D$1</f>
        <v>01-04-2025</v>
      </c>
      <c r="G101" s="1157"/>
      <c r="H101" s="60"/>
    </row>
    <row r="102" spans="1:22" customFormat="1" ht="15" thickBot="1">
      <c r="A102" s="1108"/>
      <c r="B102" s="1109"/>
      <c r="C102" s="1117"/>
      <c r="D102" s="1095" t="s">
        <v>287</v>
      </c>
      <c r="E102" s="1096"/>
      <c r="F102" s="1095" t="s">
        <v>287</v>
      </c>
      <c r="G102" s="1096"/>
      <c r="H102" s="510"/>
      <c r="I102" s="510"/>
    </row>
    <row r="103" spans="1:22" customFormat="1" ht="14.5">
      <c r="A103" s="164" t="s">
        <v>71</v>
      </c>
      <c r="B103" s="165"/>
      <c r="C103" s="166"/>
      <c r="D103" s="167">
        <v>203</v>
      </c>
      <c r="E103" s="167">
        <v>334</v>
      </c>
      <c r="F103" s="172">
        <f>ROUND(D103+D103*'Løntabel gældende fra'!$D$7%,2)</f>
        <v>250.32</v>
      </c>
      <c r="G103" s="173">
        <f>ROUND(E103+E103*'Løntabel gældende fra'!$D$7%,2)</f>
        <v>411.85</v>
      </c>
      <c r="H103" s="53"/>
    </row>
    <row r="104" spans="1:22" customFormat="1" ht="16.25" customHeight="1" thickBot="1">
      <c r="A104" s="502" t="s">
        <v>73</v>
      </c>
      <c r="B104" s="503"/>
      <c r="C104" s="504"/>
      <c r="D104" s="972">
        <v>138</v>
      </c>
      <c r="E104" s="972">
        <v>269</v>
      </c>
      <c r="F104" s="174">
        <f>ROUND(D104+D104*'Løntabel gældende fra'!$D$7%,2)</f>
        <v>170.17</v>
      </c>
      <c r="G104" s="175">
        <f>ROUND(E104+E104*'Løntabel gældende fra'!$D$7%,2)</f>
        <v>331.7</v>
      </c>
      <c r="H104" s="53"/>
    </row>
    <row r="105" spans="1:22" customFormat="1" ht="15" thickBot="1">
      <c r="A105" s="7"/>
      <c r="B105" s="7"/>
      <c r="C105" s="7"/>
      <c r="D105" s="7"/>
      <c r="E105" s="7"/>
      <c r="F105" s="7"/>
      <c r="G105" s="7"/>
      <c r="H105" s="7"/>
      <c r="I105" s="7"/>
    </row>
    <row r="106" spans="1:22" customFormat="1" ht="18.5" thickBot="1">
      <c r="A106" s="1091" t="s">
        <v>60</v>
      </c>
      <c r="B106" s="1092"/>
      <c r="C106" s="1092"/>
      <c r="D106" s="1092"/>
      <c r="E106" s="1092"/>
      <c r="F106" s="1092"/>
      <c r="G106" s="1145"/>
    </row>
    <row r="107" spans="1:22" ht="12" customHeight="1" thickBot="1">
      <c r="A107" s="176"/>
      <c r="B107" s="177"/>
      <c r="C107" s="178"/>
      <c r="D107" s="1140">
        <v>40999</v>
      </c>
      <c r="E107" s="1141"/>
      <c r="F107" s="1083" t="str">
        <f>'Løntabel gældende fra'!$D$1</f>
        <v>01-04-2025</v>
      </c>
      <c r="G107" s="1084"/>
      <c r="H107"/>
      <c r="I107"/>
    </row>
    <row r="108" spans="1:22" ht="20.25" customHeight="1" thickBot="1">
      <c r="A108" s="1240" t="s">
        <v>61</v>
      </c>
      <c r="B108" s="1241"/>
      <c r="C108" s="1241"/>
      <c r="D108" s="1093">
        <v>43.25</v>
      </c>
      <c r="E108" s="1094"/>
      <c r="F108" s="1113">
        <f>ROUND(D108+D108*'Løntabel gældende fra'!$D$7%,2)</f>
        <v>53.33</v>
      </c>
      <c r="G108" s="1114"/>
      <c r="H108"/>
      <c r="I108"/>
    </row>
    <row r="109" spans="1:22" ht="14.5">
      <c r="A109" s="1110" t="s">
        <v>204</v>
      </c>
      <c r="B109" s="1111"/>
      <c r="C109" s="1112"/>
      <c r="D109" s="1093">
        <v>9.17</v>
      </c>
      <c r="E109" s="1094"/>
      <c r="F109" s="1113">
        <f>ROUND(D109+D109*'Løntabel gældende fra'!$D$7%,2)</f>
        <v>11.31</v>
      </c>
      <c r="G109" s="1114"/>
      <c r="H109"/>
      <c r="I109"/>
    </row>
    <row r="110" spans="1:22" ht="18" customHeight="1" thickBot="1">
      <c r="A110" s="65" t="s">
        <v>62</v>
      </c>
      <c r="B110" s="66"/>
      <c r="C110" s="66"/>
      <c r="D110" s="1237">
        <v>4587.3100000000004</v>
      </c>
      <c r="E110" s="1238"/>
      <c r="F110" s="1081">
        <f>ROUND(D110+D110*'Løntabel gældende fra'!$D$7%,2)</f>
        <v>5656.59</v>
      </c>
      <c r="G110" s="1082"/>
      <c r="H110"/>
      <c r="I110"/>
    </row>
    <row r="111" spans="1:22" ht="16" customHeight="1">
      <c r="A111" s="73"/>
      <c r="B111" s="73"/>
      <c r="C111" s="73"/>
      <c r="D111" s="55"/>
      <c r="E111" s="93"/>
      <c r="F111" s="53"/>
      <c r="G111" s="53"/>
      <c r="H111"/>
      <c r="I111"/>
      <c r="J111" s="3"/>
      <c r="K111" s="3"/>
      <c r="L111" s="3"/>
      <c r="M111" s="4"/>
      <c r="N111" s="4"/>
      <c r="O111" s="4"/>
    </row>
    <row r="112" spans="1:22" ht="16" customHeight="1" thickBot="1">
      <c r="A112" s="94"/>
      <c r="B112" s="7"/>
      <c r="C112" s="7"/>
      <c r="D112" s="7"/>
      <c r="E112" s="7"/>
      <c r="F112" s="53"/>
      <c r="G112" s="53"/>
      <c r="H112" s="7"/>
      <c r="I112" s="7"/>
      <c r="J112" s="3"/>
      <c r="K112" s="3"/>
      <c r="L112" s="3"/>
      <c r="M112" s="4"/>
      <c r="N112" s="4"/>
      <c r="O112" s="4"/>
    </row>
    <row r="113" spans="1:10" ht="20">
      <c r="A113" s="1142" t="s">
        <v>90</v>
      </c>
      <c r="B113" s="1143"/>
      <c r="C113" s="1143"/>
      <c r="D113" s="1143"/>
      <c r="E113" s="1143"/>
      <c r="F113" s="1143"/>
      <c r="G113" s="1143"/>
      <c r="H113" s="1143"/>
      <c r="I113" s="1144"/>
    </row>
    <row r="114" spans="1:10" ht="20.5" thickBot="1">
      <c r="A114" s="1146" t="str">
        <f>'Løntabel gældende fra'!$D$1</f>
        <v>01-04-2025</v>
      </c>
      <c r="B114" s="1147"/>
      <c r="C114" s="1147"/>
      <c r="D114" s="1147"/>
      <c r="E114" s="1147"/>
      <c r="F114" s="1147"/>
      <c r="G114" s="1147"/>
      <c r="H114" s="1147"/>
      <c r="I114" s="1148"/>
    </row>
    <row r="115" spans="1:10" ht="18.5" thickBot="1">
      <c r="A115" s="1091" t="s">
        <v>88</v>
      </c>
      <c r="B115" s="1092"/>
      <c r="C115" s="1092"/>
      <c r="D115" s="1092"/>
      <c r="E115" s="1092"/>
      <c r="F115" s="1079"/>
      <c r="G115" s="1079"/>
      <c r="H115" s="1079"/>
      <c r="I115" s="1080"/>
    </row>
    <row r="116" spans="1:10" ht="15" customHeight="1">
      <c r="A116" s="1074" t="s">
        <v>0</v>
      </c>
      <c r="B116" s="1056" t="s">
        <v>20</v>
      </c>
      <c r="C116" s="1057"/>
      <c r="D116" s="1057"/>
      <c r="E116" s="1057"/>
      <c r="F116" s="1089" t="s">
        <v>375</v>
      </c>
      <c r="G116" s="1090"/>
      <c r="H116" s="1106">
        <v>0.17299999999999999</v>
      </c>
      <c r="I116" s="1107"/>
    </row>
    <row r="117" spans="1:10" ht="18" customHeight="1" thickBot="1">
      <c r="A117" s="1074"/>
      <c r="B117" s="1108"/>
      <c r="C117" s="1109"/>
      <c r="D117" s="1109"/>
      <c r="E117" s="1109"/>
      <c r="F117" s="1137" t="s">
        <v>384</v>
      </c>
      <c r="G117" s="1138"/>
      <c r="H117" s="1138"/>
      <c r="I117" s="1139"/>
    </row>
    <row r="118" spans="1:10" ht="18" customHeight="1">
      <c r="A118" s="155">
        <v>1</v>
      </c>
      <c r="B118" s="1149">
        <f>H10</f>
        <v>27969.47</v>
      </c>
      <c r="C118" s="1152"/>
      <c r="D118" s="1152"/>
      <c r="E118" s="1150"/>
      <c r="F118" s="1149">
        <f>ROUND(B118*$H$116,2)</f>
        <v>4838.72</v>
      </c>
      <c r="G118" s="1152"/>
      <c r="H118" s="1152"/>
      <c r="I118" s="1150"/>
    </row>
    <row r="119" spans="1:10" ht="14" customHeight="1">
      <c r="A119" s="90">
        <v>2</v>
      </c>
      <c r="B119" s="1133">
        <f>H11</f>
        <v>29316.32</v>
      </c>
      <c r="C119" s="1061"/>
      <c r="D119" s="1061"/>
      <c r="E119" s="1134"/>
      <c r="F119" s="1133">
        <f>ROUND(B119*$H$116,2)</f>
        <v>5071.72</v>
      </c>
      <c r="G119" s="1061"/>
      <c r="H119" s="1061"/>
      <c r="I119" s="1134"/>
    </row>
    <row r="120" spans="1:10" ht="15" customHeight="1">
      <c r="A120" s="90">
        <v>3</v>
      </c>
      <c r="B120" s="1133">
        <f>H12</f>
        <v>30407.200000000001</v>
      </c>
      <c r="C120" s="1061"/>
      <c r="D120" s="1061"/>
      <c r="E120" s="1134"/>
      <c r="F120" s="1133">
        <f>ROUND(B120*$H$116,2)</f>
        <v>5260.45</v>
      </c>
      <c r="G120" s="1061"/>
      <c r="H120" s="1061"/>
      <c r="I120" s="1134"/>
    </row>
    <row r="121" spans="1:10" ht="14.5" thickBot="1">
      <c r="A121" s="91">
        <v>4</v>
      </c>
      <c r="B121" s="1130">
        <f>H13</f>
        <v>32333.19</v>
      </c>
      <c r="C121" s="1155"/>
      <c r="D121" s="1155"/>
      <c r="E121" s="1131"/>
      <c r="F121" s="1130">
        <f>ROUND(B121*$H$116,2)</f>
        <v>5593.64</v>
      </c>
      <c r="G121" s="1155"/>
      <c r="H121" s="1155"/>
      <c r="I121" s="1131"/>
      <c r="J121" s="39"/>
    </row>
    <row r="122" spans="1:10" ht="18.5" thickBot="1">
      <c r="A122" s="1078" t="s">
        <v>89</v>
      </c>
      <c r="B122" s="1079"/>
      <c r="C122" s="1079"/>
      <c r="D122" s="1079"/>
      <c r="E122" s="1079"/>
      <c r="F122" s="1079"/>
      <c r="G122" s="1079"/>
      <c r="H122" s="1079"/>
      <c r="I122" s="1080"/>
    </row>
    <row r="123" spans="1:10">
      <c r="A123" s="1073" t="s">
        <v>0</v>
      </c>
      <c r="B123" s="1085" t="s">
        <v>136</v>
      </c>
      <c r="C123" s="1056" t="s">
        <v>23</v>
      </c>
      <c r="D123" s="1057"/>
      <c r="E123" s="1057"/>
      <c r="F123" s="1056" t="s">
        <v>24</v>
      </c>
      <c r="G123" s="1057"/>
      <c r="H123" s="1087" t="s">
        <v>93</v>
      </c>
      <c r="I123" s="1088"/>
    </row>
    <row r="124" spans="1:10" ht="14.5" thickBot="1">
      <c r="A124" s="1074"/>
      <c r="B124" s="1086"/>
      <c r="C124" s="1071">
        <f>B52</f>
        <v>40999</v>
      </c>
      <c r="D124" s="1072"/>
      <c r="E124" s="1072"/>
      <c r="F124" s="1071" t="str">
        <f>'Løntabel gældende fra'!$D$1</f>
        <v>01-04-2025</v>
      </c>
      <c r="G124" s="1072"/>
      <c r="H124" s="1194"/>
      <c r="I124" s="1196"/>
    </row>
    <row r="125" spans="1:10" ht="14.5" thickBot="1">
      <c r="A125" s="1074"/>
      <c r="B125" s="1086"/>
      <c r="C125" s="1087" t="s">
        <v>86</v>
      </c>
      <c r="D125" s="1088"/>
      <c r="E125" s="572" t="s">
        <v>87</v>
      </c>
      <c r="F125" s="572" t="s">
        <v>86</v>
      </c>
      <c r="G125" s="620" t="s">
        <v>87</v>
      </c>
      <c r="H125" s="1262">
        <v>0.15</v>
      </c>
      <c r="I125" s="1263"/>
    </row>
    <row r="126" spans="1:10">
      <c r="A126" s="134">
        <v>1</v>
      </c>
      <c r="B126" s="350">
        <v>21</v>
      </c>
      <c r="C126" s="1054">
        <f>+'Statens skalatrin'!N66</f>
        <v>241583.32</v>
      </c>
      <c r="D126" s="1055"/>
      <c r="E126" s="160">
        <f>ROUND(C126/12,2)</f>
        <v>20131.939999999999</v>
      </c>
      <c r="F126" s="208">
        <f>ROUND(C126*(1+'Løntabel gældende fra'!$D$7/100),0)</f>
        <v>297895</v>
      </c>
      <c r="G126" s="160">
        <f>ROUND(F126/12,2)</f>
        <v>24824.58</v>
      </c>
      <c r="H126" s="1101">
        <f>ROUND(G126*$H$125,2)</f>
        <v>3723.69</v>
      </c>
      <c r="I126" s="1102"/>
    </row>
    <row r="127" spans="1:10">
      <c r="A127" s="621">
        <v>1</v>
      </c>
      <c r="B127" s="622">
        <v>23</v>
      </c>
      <c r="C127" s="1062">
        <f>+'Statens skalatrin'!N72</f>
        <v>250472.55</v>
      </c>
      <c r="D127" s="1063"/>
      <c r="E127" s="180">
        <f t="shared" ref="E127:E139" si="4">ROUND(C127/12,2)</f>
        <v>20872.71</v>
      </c>
      <c r="F127" s="209">
        <f>ROUND(C127*(1+'Løntabel gældende fra'!$D$7/100),0)</f>
        <v>308856</v>
      </c>
      <c r="G127" s="180">
        <f t="shared" ref="G127:G137" si="5">ROUND(F127/12,2)</f>
        <v>25738</v>
      </c>
      <c r="H127" s="1101">
        <f t="shared" ref="H127:H139" si="6">ROUND(G127*$H$125,2)</f>
        <v>3860.7</v>
      </c>
      <c r="I127" s="1102"/>
    </row>
    <row r="128" spans="1:10">
      <c r="A128" s="621">
        <v>2</v>
      </c>
      <c r="B128" s="622">
        <v>25</v>
      </c>
      <c r="C128" s="1062">
        <f>+'Statens skalatrin'!N78</f>
        <v>259721.7</v>
      </c>
      <c r="D128" s="1063"/>
      <c r="E128" s="180">
        <f t="shared" si="4"/>
        <v>21643.48</v>
      </c>
      <c r="F128" s="209">
        <f>ROUND(C128*(1+'Løntabel gældende fra'!$D$7/100),0)</f>
        <v>320262</v>
      </c>
      <c r="G128" s="180">
        <f t="shared" si="5"/>
        <v>26688.5</v>
      </c>
      <c r="H128" s="1101">
        <f t="shared" si="6"/>
        <v>4003.28</v>
      </c>
      <c r="I128" s="1102"/>
    </row>
    <row r="129" spans="1:9">
      <c r="A129" s="621">
        <v>2</v>
      </c>
      <c r="B129" s="622">
        <v>27</v>
      </c>
      <c r="C129" s="1062">
        <f>+'Statens skalatrin'!N84</f>
        <v>269459.90000000002</v>
      </c>
      <c r="D129" s="1063"/>
      <c r="E129" s="180">
        <f t="shared" si="4"/>
        <v>22454.99</v>
      </c>
      <c r="F129" s="209">
        <f>ROUND(C129*(1+'Løntabel gældende fra'!$D$7/100),0)</f>
        <v>332270</v>
      </c>
      <c r="G129" s="180">
        <f t="shared" si="5"/>
        <v>27689.17</v>
      </c>
      <c r="H129" s="1101">
        <f t="shared" si="6"/>
        <v>4153.38</v>
      </c>
      <c r="I129" s="1102"/>
    </row>
    <row r="130" spans="1:9">
      <c r="A130" s="621">
        <v>3</v>
      </c>
      <c r="B130" s="622">
        <v>28</v>
      </c>
      <c r="C130" s="1062">
        <f>+'Statens skalatrin'!N87</f>
        <v>274522.23</v>
      </c>
      <c r="D130" s="1063"/>
      <c r="E130" s="180">
        <f t="shared" si="4"/>
        <v>22876.85</v>
      </c>
      <c r="F130" s="209">
        <f>ROUND(C130*(1+'Løntabel gældende fra'!$D$7/100),0)</f>
        <v>338512</v>
      </c>
      <c r="G130" s="180">
        <f t="shared" si="5"/>
        <v>28209.33</v>
      </c>
      <c r="H130" s="1101">
        <f t="shared" si="6"/>
        <v>4231.3999999999996</v>
      </c>
      <c r="I130" s="1102"/>
    </row>
    <row r="131" spans="1:9">
      <c r="A131" s="621">
        <v>3</v>
      </c>
      <c r="B131" s="622">
        <v>29</v>
      </c>
      <c r="C131" s="1062">
        <f>+'Statens skalatrin'!N90</f>
        <v>279714.99</v>
      </c>
      <c r="D131" s="1063"/>
      <c r="E131" s="180">
        <f t="shared" si="4"/>
        <v>23309.58</v>
      </c>
      <c r="F131" s="209">
        <f>ROUND(C131*(1+'Løntabel gældende fra'!$D$7/100),0)</f>
        <v>344915</v>
      </c>
      <c r="G131" s="180">
        <f t="shared" si="5"/>
        <v>28742.92</v>
      </c>
      <c r="H131" s="1101">
        <f t="shared" si="6"/>
        <v>4311.4399999999996</v>
      </c>
      <c r="I131" s="1102"/>
    </row>
    <row r="132" spans="1:9">
      <c r="A132" s="621">
        <v>3</v>
      </c>
      <c r="B132" s="622">
        <v>30</v>
      </c>
      <c r="C132" s="1062">
        <f>+'Statens skalatrin'!N93</f>
        <v>285044.74</v>
      </c>
      <c r="D132" s="1063"/>
      <c r="E132" s="180">
        <f t="shared" si="4"/>
        <v>23753.73</v>
      </c>
      <c r="F132" s="209">
        <f>ROUND(C132*(1+'Løntabel gældende fra'!$D$7/100),0)</f>
        <v>351487</v>
      </c>
      <c r="G132" s="180">
        <f t="shared" si="5"/>
        <v>29290.58</v>
      </c>
      <c r="H132" s="1101">
        <f t="shared" si="6"/>
        <v>4393.59</v>
      </c>
      <c r="I132" s="1102"/>
    </row>
    <row r="133" spans="1:9">
      <c r="A133" s="621">
        <v>3</v>
      </c>
      <c r="B133" s="622">
        <v>31</v>
      </c>
      <c r="C133" s="1062">
        <f>+'Statens skalatrin'!N96</f>
        <v>290512.64000000001</v>
      </c>
      <c r="D133" s="1063"/>
      <c r="E133" s="180">
        <f t="shared" si="4"/>
        <v>24209.39</v>
      </c>
      <c r="F133" s="209">
        <f>ROUND(C133*(1+'Løntabel gældende fra'!$D$7/100),0)</f>
        <v>358230</v>
      </c>
      <c r="G133" s="180">
        <f t="shared" si="5"/>
        <v>29852.5</v>
      </c>
      <c r="H133" s="1101">
        <f t="shared" si="6"/>
        <v>4477.88</v>
      </c>
      <c r="I133" s="1102"/>
    </row>
    <row r="134" spans="1:9" ht="15" customHeight="1">
      <c r="A134" s="621">
        <v>28</v>
      </c>
      <c r="B134" s="622">
        <v>28</v>
      </c>
      <c r="C134" s="1062">
        <f>+C130</f>
        <v>274522.23</v>
      </c>
      <c r="D134" s="1063"/>
      <c r="E134" s="180">
        <f t="shared" si="4"/>
        <v>22876.85</v>
      </c>
      <c r="F134" s="209">
        <f>ROUND(C134*(1+'Løntabel gældende fra'!$D$7/100),0)</f>
        <v>338512</v>
      </c>
      <c r="G134" s="180">
        <f t="shared" si="5"/>
        <v>28209.33</v>
      </c>
      <c r="H134" s="1101">
        <f t="shared" si="6"/>
        <v>4231.3999999999996</v>
      </c>
      <c r="I134" s="1102"/>
    </row>
    <row r="135" spans="1:9" ht="15" customHeight="1">
      <c r="A135" s="621">
        <v>29</v>
      </c>
      <c r="B135" s="622">
        <v>29</v>
      </c>
      <c r="C135" s="1062">
        <f>+C131</f>
        <v>279714.99</v>
      </c>
      <c r="D135" s="1063"/>
      <c r="E135" s="180">
        <f t="shared" si="4"/>
        <v>23309.58</v>
      </c>
      <c r="F135" s="209">
        <f>ROUND(C135*(1+'Løntabel gældende fra'!$D$7/100),0)</f>
        <v>344915</v>
      </c>
      <c r="G135" s="180">
        <f t="shared" si="5"/>
        <v>28742.92</v>
      </c>
      <c r="H135" s="1101">
        <f t="shared" si="6"/>
        <v>4311.4399999999996</v>
      </c>
      <c r="I135" s="1102"/>
    </row>
    <row r="136" spans="1:9" ht="17.25" customHeight="1">
      <c r="A136" s="621">
        <v>30</v>
      </c>
      <c r="B136" s="622">
        <v>30</v>
      </c>
      <c r="C136" s="1062">
        <f>+C132</f>
        <v>285044.74</v>
      </c>
      <c r="D136" s="1063"/>
      <c r="E136" s="180">
        <f t="shared" si="4"/>
        <v>23753.73</v>
      </c>
      <c r="F136" s="209">
        <f>ROUND(C136*(1+'Løntabel gældende fra'!$D$7/100),0)</f>
        <v>351487</v>
      </c>
      <c r="G136" s="180">
        <f t="shared" si="5"/>
        <v>29290.58</v>
      </c>
      <c r="H136" s="1101">
        <f t="shared" si="6"/>
        <v>4393.59</v>
      </c>
      <c r="I136" s="1102"/>
    </row>
    <row r="137" spans="1:9" ht="14.25" customHeight="1">
      <c r="A137" s="621">
        <v>31</v>
      </c>
      <c r="B137" s="622">
        <v>31</v>
      </c>
      <c r="C137" s="1062">
        <f>+C133</f>
        <v>290512.64000000001</v>
      </c>
      <c r="D137" s="1063"/>
      <c r="E137" s="180">
        <f t="shared" si="4"/>
        <v>24209.39</v>
      </c>
      <c r="F137" s="209">
        <f>ROUND(C137*(1+'Løntabel gældende fra'!$D$7/100),0)</f>
        <v>358230</v>
      </c>
      <c r="G137" s="180">
        <f t="shared" si="5"/>
        <v>29852.5</v>
      </c>
      <c r="H137" s="1101">
        <f t="shared" si="6"/>
        <v>4477.88</v>
      </c>
      <c r="I137" s="1102"/>
    </row>
    <row r="138" spans="1:9">
      <c r="A138" s="621">
        <v>32</v>
      </c>
      <c r="B138" s="622">
        <v>32</v>
      </c>
      <c r="C138" s="1062">
        <f>+'Statens skalatrin'!N99</f>
        <v>296125.21000000002</v>
      </c>
      <c r="D138" s="1063"/>
      <c r="E138" s="180">
        <f t="shared" si="4"/>
        <v>24677.1</v>
      </c>
      <c r="F138" s="209">
        <f>ROUND(C138*(1+'Løntabel gældende fra'!$D$7/100),0)</f>
        <v>365151</v>
      </c>
      <c r="G138" s="180">
        <f>ROUND(F138/12,2)</f>
        <v>30429.25</v>
      </c>
      <c r="H138" s="1101">
        <f t="shared" si="6"/>
        <v>4564.3900000000003</v>
      </c>
      <c r="I138" s="1102"/>
    </row>
    <row r="139" spans="1:9" ht="14.5" thickBot="1">
      <c r="A139" s="140">
        <v>33</v>
      </c>
      <c r="B139" s="351">
        <v>33</v>
      </c>
      <c r="C139" s="1153">
        <f>+'Statens skalatrin'!N102</f>
        <v>301881.8</v>
      </c>
      <c r="D139" s="1154"/>
      <c r="E139" s="161">
        <f t="shared" si="4"/>
        <v>25156.82</v>
      </c>
      <c r="F139" s="210">
        <f>ROUND(C139*(1+'Løntabel gældende fra'!$D$7/100),0)</f>
        <v>372249</v>
      </c>
      <c r="G139" s="161">
        <f>ROUND(F139/12,2)</f>
        <v>31020.75</v>
      </c>
      <c r="H139" s="1101">
        <f t="shared" si="6"/>
        <v>4653.1099999999997</v>
      </c>
      <c r="I139" s="1102"/>
    </row>
    <row r="140" spans="1:9" ht="20">
      <c r="A140" s="1142" t="s">
        <v>91</v>
      </c>
      <c r="B140" s="1143"/>
      <c r="C140" s="1143"/>
      <c r="D140" s="1143"/>
      <c r="E140" s="1143"/>
      <c r="F140" s="1143"/>
      <c r="G140" s="1143"/>
      <c r="H140" s="1143"/>
      <c r="I140" s="1144"/>
    </row>
    <row r="141" spans="1:9" ht="20">
      <c r="A141" s="1264" t="str">
        <f>'Løntabel gældende fra'!$D$1</f>
        <v>01-04-2025</v>
      </c>
      <c r="B141" s="1265"/>
      <c r="C141" s="1265"/>
      <c r="D141" s="1265"/>
      <c r="E141" s="1265"/>
      <c r="F141" s="1265"/>
      <c r="G141" s="1265"/>
      <c r="H141" s="1265"/>
      <c r="I141" s="1266"/>
    </row>
    <row r="142" spans="1:9" ht="18.5" thickBot="1">
      <c r="A142" s="1097" t="s">
        <v>88</v>
      </c>
      <c r="B142" s="1098"/>
      <c r="C142" s="1098"/>
      <c r="D142" s="1098"/>
      <c r="E142" s="1098"/>
      <c r="F142" s="1099"/>
      <c r="G142" s="1099"/>
      <c r="H142" s="1099"/>
      <c r="I142" s="1100"/>
    </row>
    <row r="143" spans="1:9">
      <c r="A143" s="1074" t="s">
        <v>0</v>
      </c>
      <c r="B143" s="1056" t="s">
        <v>20</v>
      </c>
      <c r="C143" s="1057"/>
      <c r="D143" s="1057"/>
      <c r="E143" s="1057"/>
      <c r="F143" s="1258" t="s">
        <v>93</v>
      </c>
      <c r="G143" s="1259"/>
      <c r="H143" s="686">
        <v>0.17299999999999999</v>
      </c>
      <c r="I143" s="687"/>
    </row>
    <row r="144" spans="1:9" ht="14.5" thickBot="1">
      <c r="A144" s="1104"/>
      <c r="B144" s="1108"/>
      <c r="C144" s="1109"/>
      <c r="D144" s="1109"/>
      <c r="E144" s="1109"/>
      <c r="F144" s="1108" t="s">
        <v>384</v>
      </c>
      <c r="G144" s="1109"/>
      <c r="H144" s="1109"/>
      <c r="I144" s="1117"/>
    </row>
    <row r="145" spans="1:10">
      <c r="A145" s="155">
        <v>1</v>
      </c>
      <c r="B145" s="1149">
        <f>E10</f>
        <v>28740.880000000001</v>
      </c>
      <c r="C145" s="1152"/>
      <c r="D145" s="1152"/>
      <c r="E145" s="1152"/>
      <c r="F145" s="1149">
        <f>ROUND(B145*$H$143,2)</f>
        <v>4972.17</v>
      </c>
      <c r="G145" s="1152"/>
      <c r="H145" s="1152"/>
      <c r="I145" s="1150"/>
    </row>
    <row r="146" spans="1:10" ht="15" customHeight="1">
      <c r="A146" s="90">
        <v>2</v>
      </c>
      <c r="B146" s="1133">
        <f>E11</f>
        <v>30626.38</v>
      </c>
      <c r="C146" s="1061"/>
      <c r="D146" s="1061"/>
      <c r="E146" s="1061"/>
      <c r="F146" s="1133">
        <f t="shared" ref="F146:F148" si="7">ROUND(B146*$H$143,2)</f>
        <v>5298.36</v>
      </c>
      <c r="G146" s="1061"/>
      <c r="H146" s="1061"/>
      <c r="I146" s="1134"/>
    </row>
    <row r="147" spans="1:10">
      <c r="A147" s="90">
        <v>3</v>
      </c>
      <c r="B147" s="1133">
        <f>E12</f>
        <v>33468.15</v>
      </c>
      <c r="C147" s="1061"/>
      <c r="D147" s="1061"/>
      <c r="E147" s="1061"/>
      <c r="F147" s="1133">
        <f t="shared" si="7"/>
        <v>5789.99</v>
      </c>
      <c r="G147" s="1061"/>
      <c r="H147" s="1061"/>
      <c r="I147" s="1134"/>
    </row>
    <row r="148" spans="1:10" ht="19" customHeight="1" thickBot="1">
      <c r="A148" s="91">
        <v>4</v>
      </c>
      <c r="B148" s="1130">
        <f>E13</f>
        <v>36107.9</v>
      </c>
      <c r="C148" s="1155"/>
      <c r="D148" s="1155"/>
      <c r="E148" s="1155"/>
      <c r="F148" s="1130">
        <f t="shared" si="7"/>
        <v>6246.67</v>
      </c>
      <c r="G148" s="1155"/>
      <c r="H148" s="1155"/>
      <c r="I148" s="1131"/>
    </row>
    <row r="149" spans="1:10" ht="14" customHeight="1" thickBot="1">
      <c r="A149" s="1091" t="s">
        <v>89</v>
      </c>
      <c r="B149" s="1092"/>
      <c r="C149" s="1092"/>
      <c r="D149" s="1092"/>
      <c r="E149" s="1092"/>
      <c r="F149" s="1092"/>
      <c r="G149" s="1092"/>
      <c r="H149" s="1092"/>
      <c r="I149" s="393"/>
      <c r="J149" s="45"/>
    </row>
    <row r="150" spans="1:10">
      <c r="A150" s="1086" t="s">
        <v>104</v>
      </c>
      <c r="B150" s="1086" t="s">
        <v>136</v>
      </c>
      <c r="C150" s="1229" t="s">
        <v>23</v>
      </c>
      <c r="D150" s="1229"/>
      <c r="E150" s="1229"/>
      <c r="F150" s="1254" t="s">
        <v>24</v>
      </c>
      <c r="G150" s="1229"/>
      <c r="H150" s="1087" t="s">
        <v>93</v>
      </c>
      <c r="I150" s="1088"/>
    </row>
    <row r="151" spans="1:10" ht="14.5" thickBot="1">
      <c r="A151" s="1086"/>
      <c r="B151" s="1086"/>
      <c r="C151" s="1072">
        <v>40999</v>
      </c>
      <c r="D151" s="1072"/>
      <c r="E151" s="1072"/>
      <c r="F151" s="1071" t="str">
        <f>'Løntabel gældende fra'!$D$1</f>
        <v>01-04-2025</v>
      </c>
      <c r="G151" s="1072"/>
      <c r="H151" s="1194"/>
      <c r="I151" s="1196"/>
    </row>
    <row r="152" spans="1:10" ht="14.5" thickBot="1">
      <c r="A152" s="1103"/>
      <c r="B152" s="1086"/>
      <c r="C152" s="1105" t="s">
        <v>86</v>
      </c>
      <c r="D152" s="1088"/>
      <c r="E152" s="572" t="s">
        <v>87</v>
      </c>
      <c r="F152" s="319" t="s">
        <v>86</v>
      </c>
      <c r="G152" s="620" t="s">
        <v>87</v>
      </c>
      <c r="H152" s="1260">
        <v>0.15</v>
      </c>
      <c r="I152" s="1261"/>
    </row>
    <row r="153" spans="1:10">
      <c r="A153" s="134">
        <v>1</v>
      </c>
      <c r="B153" s="350">
        <v>24</v>
      </c>
      <c r="C153" s="1054">
        <f>+'Statens skalatrin'!N75</f>
        <v>255037.97</v>
      </c>
      <c r="D153" s="1055"/>
      <c r="E153" s="160">
        <f>ROUND(C153/12,2)</f>
        <v>21253.16</v>
      </c>
      <c r="F153" s="208">
        <f>ROUND(C153*(1+'Løntabel gældende fra'!$D$7/100),0)</f>
        <v>314486</v>
      </c>
      <c r="G153" s="160">
        <f>ROUND(F153/12,2)</f>
        <v>26207.17</v>
      </c>
      <c r="H153" s="1101">
        <f>ROUND(G153*$H$152,2)</f>
        <v>3931.08</v>
      </c>
      <c r="I153" s="1102"/>
    </row>
    <row r="154" spans="1:10">
      <c r="A154" s="621">
        <v>1</v>
      </c>
      <c r="B154" s="622">
        <v>25</v>
      </c>
      <c r="C154" s="1062">
        <f>+'Statens skalatrin'!N78</f>
        <v>259721.7</v>
      </c>
      <c r="D154" s="1063"/>
      <c r="E154" s="180">
        <f t="shared" ref="E154:E167" si="8">ROUND(C154/12,2)</f>
        <v>21643.48</v>
      </c>
      <c r="F154" s="209">
        <f>ROUND(C154*(1+'Løntabel gældende fra'!$D$7/100),0)</f>
        <v>320262</v>
      </c>
      <c r="G154" s="180">
        <f t="shared" ref="G154:G167" si="9">ROUND(F154/12,2)</f>
        <v>26688.5</v>
      </c>
      <c r="H154" s="1101">
        <f t="shared" ref="H154:H167" si="10">ROUND(G154*$H$152,2)</f>
        <v>4003.28</v>
      </c>
      <c r="I154" s="1102"/>
    </row>
    <row r="155" spans="1:10">
      <c r="A155" s="621">
        <v>2</v>
      </c>
      <c r="B155" s="622">
        <v>27</v>
      </c>
      <c r="C155" s="1062">
        <f>+'Statens skalatrin'!N84</f>
        <v>269459.90000000002</v>
      </c>
      <c r="D155" s="1063"/>
      <c r="E155" s="180">
        <f t="shared" si="8"/>
        <v>22454.99</v>
      </c>
      <c r="F155" s="209">
        <f>ROUND(C155*(1+'Løntabel gældende fra'!$D$7/100),0)</f>
        <v>332270</v>
      </c>
      <c r="G155" s="180">
        <f t="shared" si="9"/>
        <v>27689.17</v>
      </c>
      <c r="H155" s="1101">
        <f t="shared" si="10"/>
        <v>4153.38</v>
      </c>
      <c r="I155" s="1102"/>
    </row>
    <row r="156" spans="1:10">
      <c r="A156" s="621">
        <v>2</v>
      </c>
      <c r="B156" s="622">
        <v>29</v>
      </c>
      <c r="C156" s="1062">
        <f>+'Statens skalatrin'!N90</f>
        <v>279714.99</v>
      </c>
      <c r="D156" s="1063"/>
      <c r="E156" s="180">
        <f t="shared" si="8"/>
        <v>23309.58</v>
      </c>
      <c r="F156" s="209">
        <f>ROUND(C156*(1+'Løntabel gældende fra'!$D$7/100),0)</f>
        <v>344915</v>
      </c>
      <c r="G156" s="180">
        <f t="shared" si="9"/>
        <v>28742.92</v>
      </c>
      <c r="H156" s="1101">
        <f t="shared" si="10"/>
        <v>4311.4399999999996</v>
      </c>
      <c r="I156" s="1102"/>
    </row>
    <row r="157" spans="1:10">
      <c r="A157" s="621">
        <v>3</v>
      </c>
      <c r="B157" s="622">
        <v>31</v>
      </c>
      <c r="C157" s="1062">
        <f>+'Statens skalatrin'!N96</f>
        <v>290512.64000000001</v>
      </c>
      <c r="D157" s="1063"/>
      <c r="E157" s="180">
        <f t="shared" si="8"/>
        <v>24209.39</v>
      </c>
      <c r="F157" s="209">
        <f>ROUND(C157*(1+'Løntabel gældende fra'!$D$7/100),0)</f>
        <v>358230</v>
      </c>
      <c r="G157" s="180">
        <f t="shared" si="9"/>
        <v>29852.5</v>
      </c>
      <c r="H157" s="1101">
        <f t="shared" si="10"/>
        <v>4477.88</v>
      </c>
      <c r="I157" s="1102"/>
    </row>
    <row r="158" spans="1:10">
      <c r="A158" s="621">
        <v>3</v>
      </c>
      <c r="B158" s="622">
        <v>33</v>
      </c>
      <c r="C158" s="1062">
        <f>+'Statens skalatrin'!N102</f>
        <v>301881.8</v>
      </c>
      <c r="D158" s="1063"/>
      <c r="E158" s="180">
        <f t="shared" si="8"/>
        <v>25156.82</v>
      </c>
      <c r="F158" s="209">
        <f>ROUND(C158*(1+'Løntabel gældende fra'!$D$7/100),0)</f>
        <v>372249</v>
      </c>
      <c r="G158" s="180">
        <f t="shared" si="9"/>
        <v>31020.75</v>
      </c>
      <c r="H158" s="1101">
        <f t="shared" si="10"/>
        <v>4653.1099999999997</v>
      </c>
      <c r="I158" s="1102"/>
    </row>
    <row r="159" spans="1:10">
      <c r="A159" s="621">
        <v>3</v>
      </c>
      <c r="B159" s="622">
        <v>35</v>
      </c>
      <c r="C159" s="1062">
        <f>+'Statens skalatrin'!N108</f>
        <v>313854.56</v>
      </c>
      <c r="D159" s="1063"/>
      <c r="E159" s="180">
        <f t="shared" si="8"/>
        <v>26154.55</v>
      </c>
      <c r="F159" s="209">
        <f>ROUND(C159*(1+'Løntabel gældende fra'!$D$7/100),0)</f>
        <v>387012</v>
      </c>
      <c r="G159" s="180">
        <f t="shared" si="9"/>
        <v>32251</v>
      </c>
      <c r="H159" s="1101">
        <f t="shared" si="10"/>
        <v>4837.6499999999996</v>
      </c>
      <c r="I159" s="1102"/>
    </row>
    <row r="160" spans="1:10">
      <c r="A160" s="621">
        <v>3</v>
      </c>
      <c r="B160" s="622">
        <v>37</v>
      </c>
      <c r="C160" s="1062">
        <f>+'Statens skalatrin'!N114</f>
        <v>326457.34000000003</v>
      </c>
      <c r="D160" s="1063"/>
      <c r="E160" s="180">
        <f t="shared" si="8"/>
        <v>27204.78</v>
      </c>
      <c r="F160" s="209">
        <f>ROUND(C160*(1+'Løntabel gældende fra'!$D$7/100),0)</f>
        <v>402553</v>
      </c>
      <c r="G160" s="180">
        <f t="shared" si="9"/>
        <v>33546.080000000002</v>
      </c>
      <c r="H160" s="1101">
        <f t="shared" si="10"/>
        <v>5031.91</v>
      </c>
      <c r="I160" s="1102"/>
    </row>
    <row r="161" spans="1:9">
      <c r="A161" s="621">
        <v>3</v>
      </c>
      <c r="B161" s="622">
        <v>40</v>
      </c>
      <c r="C161" s="1062">
        <f>+'Statens skalatrin'!N123</f>
        <v>347027.46</v>
      </c>
      <c r="D161" s="1063"/>
      <c r="E161" s="180">
        <f t="shared" si="8"/>
        <v>28918.959999999999</v>
      </c>
      <c r="F161" s="209">
        <f>ROUND(C161*(1+'Løntabel gældende fra'!$D$7/100),0)</f>
        <v>427918</v>
      </c>
      <c r="G161" s="180">
        <f t="shared" si="9"/>
        <v>35659.83</v>
      </c>
      <c r="H161" s="1101">
        <f t="shared" si="10"/>
        <v>5348.97</v>
      </c>
      <c r="I161" s="1102"/>
    </row>
    <row r="162" spans="1:9">
      <c r="A162" s="621">
        <v>35</v>
      </c>
      <c r="B162" s="622">
        <v>35</v>
      </c>
      <c r="C162" s="1062">
        <f>+C159</f>
        <v>313854.56</v>
      </c>
      <c r="D162" s="1063"/>
      <c r="E162" s="180">
        <f t="shared" si="8"/>
        <v>26154.55</v>
      </c>
      <c r="F162" s="209">
        <f>ROUND(C162*(1+'Løntabel gældende fra'!$D$7/100),0)</f>
        <v>387012</v>
      </c>
      <c r="G162" s="180">
        <f t="shared" si="9"/>
        <v>32251</v>
      </c>
      <c r="H162" s="1101">
        <f t="shared" si="10"/>
        <v>4837.6499999999996</v>
      </c>
      <c r="I162" s="1102"/>
    </row>
    <row r="163" spans="1:9">
      <c r="A163" s="621">
        <v>36</v>
      </c>
      <c r="B163" s="622">
        <v>36</v>
      </c>
      <c r="C163" s="1062">
        <f>+'Statens skalatrin'!N111</f>
        <v>320074.68</v>
      </c>
      <c r="D163" s="1063"/>
      <c r="E163" s="180">
        <f t="shared" si="8"/>
        <v>26672.89</v>
      </c>
      <c r="F163" s="209">
        <f>ROUND(C163*(1+'Løntabel gældende fra'!$D$7/100),0)</f>
        <v>394682</v>
      </c>
      <c r="G163" s="180">
        <f t="shared" si="9"/>
        <v>32890.17</v>
      </c>
      <c r="H163" s="1101">
        <f t="shared" si="10"/>
        <v>4933.53</v>
      </c>
      <c r="I163" s="1102"/>
    </row>
    <row r="164" spans="1:9" ht="15" hidden="1" customHeight="1">
      <c r="A164" s="621">
        <v>38</v>
      </c>
      <c r="B164" s="622">
        <v>38</v>
      </c>
      <c r="C164" s="1062">
        <f>+'Statens skalatrin'!N117</f>
        <v>333128.88</v>
      </c>
      <c r="D164" s="1063"/>
      <c r="E164" s="180">
        <f t="shared" si="8"/>
        <v>27760.74</v>
      </c>
      <c r="F164" s="209">
        <f>ROUND(C164*(1+'Løntabel gældende fra'!$D$7/100),0)</f>
        <v>410780</v>
      </c>
      <c r="G164" s="180">
        <f t="shared" si="9"/>
        <v>34231.67</v>
      </c>
      <c r="H164" s="1101">
        <f t="shared" si="10"/>
        <v>5134.75</v>
      </c>
      <c r="I164" s="1102"/>
    </row>
    <row r="165" spans="1:9" s="70" customFormat="1" ht="15.75" customHeight="1">
      <c r="A165" s="621">
        <v>40</v>
      </c>
      <c r="B165" s="622">
        <v>40</v>
      </c>
      <c r="C165" s="1062">
        <f>+'Statens skalatrin'!N123</f>
        <v>347027.46</v>
      </c>
      <c r="D165" s="1063"/>
      <c r="E165" s="180">
        <f t="shared" si="8"/>
        <v>28918.959999999999</v>
      </c>
      <c r="F165" s="209">
        <f>ROUND(C165*(1+'Løntabel gældende fra'!$D$7/100),0)</f>
        <v>427918</v>
      </c>
      <c r="G165" s="180">
        <f t="shared" si="9"/>
        <v>35659.83</v>
      </c>
      <c r="H165" s="1101">
        <f t="shared" si="10"/>
        <v>5348.97</v>
      </c>
      <c r="I165" s="1102"/>
    </row>
    <row r="166" spans="1:9" s="70" customFormat="1" ht="14.5">
      <c r="A166" s="621">
        <v>41</v>
      </c>
      <c r="B166" s="622">
        <v>41</v>
      </c>
      <c r="C166" s="1062">
        <f>+'Statens skalatrin'!N126</f>
        <v>354249.23</v>
      </c>
      <c r="D166" s="1063"/>
      <c r="E166" s="180">
        <f t="shared" si="8"/>
        <v>29520.77</v>
      </c>
      <c r="F166" s="209">
        <f>ROUND(C166*(1+'Løntabel gældende fra'!$D$7/100),0)</f>
        <v>436823</v>
      </c>
      <c r="G166" s="180">
        <f t="shared" si="9"/>
        <v>36401.919999999998</v>
      </c>
      <c r="H166" s="1101">
        <f t="shared" si="10"/>
        <v>5460.29</v>
      </c>
      <c r="I166" s="1102"/>
    </row>
    <row r="167" spans="1:9" s="70" customFormat="1" ht="15" thickBot="1">
      <c r="A167" s="140">
        <v>42</v>
      </c>
      <c r="B167" s="351">
        <v>42</v>
      </c>
      <c r="C167" s="1153">
        <f>+'Statens skalatrin'!N129</f>
        <v>361659.2</v>
      </c>
      <c r="D167" s="1154"/>
      <c r="E167" s="161">
        <f t="shared" si="8"/>
        <v>30138.27</v>
      </c>
      <c r="F167" s="210">
        <f>ROUND(C167*(1+'Løntabel gældende fra'!$D$7/100),0)</f>
        <v>445960</v>
      </c>
      <c r="G167" s="161">
        <f t="shared" si="9"/>
        <v>37163.33</v>
      </c>
      <c r="H167" s="1101">
        <f t="shared" si="10"/>
        <v>5574.5</v>
      </c>
      <c r="I167" s="1102"/>
    </row>
    <row r="168" spans="1:9" s="70" customFormat="1" ht="64" customHeight="1" thickBot="1">
      <c r="A168" s="1257" t="s">
        <v>397</v>
      </c>
      <c r="B168" s="1257"/>
      <c r="C168" s="1257"/>
      <c r="D168" s="1257"/>
      <c r="E168" s="1257"/>
      <c r="F168" s="1257"/>
      <c r="G168" s="1257"/>
      <c r="H168" s="1257"/>
      <c r="I168" s="1257"/>
    </row>
    <row r="169" spans="1:9" ht="14.5">
      <c r="A169" s="73"/>
      <c r="B169" s="73"/>
      <c r="C169" s="73"/>
      <c r="D169" s="74"/>
      <c r="E169" s="72"/>
      <c r="F169" s="70"/>
      <c r="G169" s="70"/>
      <c r="H169" s="70"/>
      <c r="I169" s="70"/>
    </row>
    <row r="170" spans="1:9" ht="15" thickBot="1">
      <c r="A170" s="73"/>
      <c r="B170" s="73"/>
      <c r="C170" s="73"/>
      <c r="D170" s="75"/>
      <c r="E170" s="76"/>
      <c r="F170" s="70"/>
      <c r="G170" s="70"/>
      <c r="H170" s="70"/>
      <c r="I170" s="70"/>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1"/>
      <c r="B213" s="1"/>
      <c r="C213" s="1"/>
      <c r="D213" s="1"/>
      <c r="E213" s="1"/>
      <c r="F213" s="1"/>
      <c r="G213" s="1"/>
      <c r="H213" s="1"/>
      <c r="I213" s="1"/>
    </row>
    <row r="214" spans="1:9">
      <c r="A214" s="1"/>
      <c r="B214" s="1"/>
      <c r="C214" s="1"/>
      <c r="D214" s="1"/>
      <c r="E214" s="1"/>
      <c r="F214" s="1"/>
      <c r="G214" s="1"/>
      <c r="H214" s="1"/>
      <c r="I214" s="1"/>
    </row>
    <row r="215" spans="1:9">
      <c r="A215" s="1"/>
      <c r="B215" s="1"/>
      <c r="C215" s="1"/>
      <c r="D215" s="1"/>
      <c r="E215" s="1"/>
      <c r="F215" s="1"/>
      <c r="G215" s="1"/>
      <c r="H215" s="1"/>
      <c r="I215" s="1"/>
    </row>
    <row r="216" spans="1:9">
      <c r="A216" s="1"/>
      <c r="B216" s="1"/>
      <c r="C216" s="1"/>
      <c r="D216" s="1"/>
      <c r="E216" s="1"/>
      <c r="F216" s="1"/>
      <c r="G216" s="1"/>
      <c r="H216" s="1"/>
      <c r="I216" s="1"/>
    </row>
  </sheetData>
  <mergeCells count="247">
    <mergeCell ref="F118:I118"/>
    <mergeCell ref="F119:I119"/>
    <mergeCell ref="F120:I120"/>
    <mergeCell ref="F121:I121"/>
    <mergeCell ref="B118:E118"/>
    <mergeCell ref="B119:E119"/>
    <mergeCell ref="B120:E120"/>
    <mergeCell ref="B121:E121"/>
    <mergeCell ref="C124:E124"/>
    <mergeCell ref="A122:I122"/>
    <mergeCell ref="H123:I124"/>
    <mergeCell ref="H125:I125"/>
    <mergeCell ref="H126:I126"/>
    <mergeCell ref="H127:I127"/>
    <mergeCell ref="H158:I158"/>
    <mergeCell ref="H139:I139"/>
    <mergeCell ref="A140:I140"/>
    <mergeCell ref="A141:I141"/>
    <mergeCell ref="H135:I135"/>
    <mergeCell ref="C153:D153"/>
    <mergeCell ref="H134:I134"/>
    <mergeCell ref="C127:D127"/>
    <mergeCell ref="C138:D138"/>
    <mergeCell ref="C139:D139"/>
    <mergeCell ref="C133:D133"/>
    <mergeCell ref="C134:D134"/>
    <mergeCell ref="C135:D135"/>
    <mergeCell ref="B146:E146"/>
    <mergeCell ref="B147:E147"/>
    <mergeCell ref="C137:D137"/>
    <mergeCell ref="C128:D128"/>
    <mergeCell ref="C130:D130"/>
    <mergeCell ref="C131:D131"/>
    <mergeCell ref="C132:D132"/>
    <mergeCell ref="C154:D154"/>
    <mergeCell ref="H166:I166"/>
    <mergeCell ref="H167:I167"/>
    <mergeCell ref="C167:D167"/>
    <mergeCell ref="C159:D159"/>
    <mergeCell ref="C160:D160"/>
    <mergeCell ref="C162:D162"/>
    <mergeCell ref="C163:D163"/>
    <mergeCell ref="C164:D164"/>
    <mergeCell ref="C165:D165"/>
    <mergeCell ref="C161:D161"/>
    <mergeCell ref="C166:D166"/>
    <mergeCell ref="H159:I159"/>
    <mergeCell ref="H160:I160"/>
    <mergeCell ref="H161:I161"/>
    <mergeCell ref="H162:I162"/>
    <mergeCell ref="H163:I163"/>
    <mergeCell ref="H164:I164"/>
    <mergeCell ref="H165:I165"/>
    <mergeCell ref="A168:I168"/>
    <mergeCell ref="C155:D155"/>
    <mergeCell ref="C156:D156"/>
    <mergeCell ref="C157:D157"/>
    <mergeCell ref="C158:D158"/>
    <mergeCell ref="F143:G143"/>
    <mergeCell ref="F144:I144"/>
    <mergeCell ref="B143:E144"/>
    <mergeCell ref="B145:E145"/>
    <mergeCell ref="B148:E148"/>
    <mergeCell ref="F145:I145"/>
    <mergeCell ref="F146:I146"/>
    <mergeCell ref="F147:I147"/>
    <mergeCell ref="F148:I148"/>
    <mergeCell ref="H150:I151"/>
    <mergeCell ref="H152:I152"/>
    <mergeCell ref="H153:I153"/>
    <mergeCell ref="H154:I154"/>
    <mergeCell ref="H155:I155"/>
    <mergeCell ref="H156:I156"/>
    <mergeCell ref="H157:I157"/>
    <mergeCell ref="B150:B152"/>
    <mergeCell ref="C150:E150"/>
    <mergeCell ref="F150:G150"/>
    <mergeCell ref="A108:C108"/>
    <mergeCell ref="F108:G108"/>
    <mergeCell ref="A26:I26"/>
    <mergeCell ref="B56:C56"/>
    <mergeCell ref="D56:E56"/>
    <mergeCell ref="B46:C46"/>
    <mergeCell ref="B55:C55"/>
    <mergeCell ref="D55:E55"/>
    <mergeCell ref="F51:G51"/>
    <mergeCell ref="F52:G52"/>
    <mergeCell ref="F53:G53"/>
    <mergeCell ref="A33:I33"/>
    <mergeCell ref="C27:E27"/>
    <mergeCell ref="A87:G88"/>
    <mergeCell ref="A89:G89"/>
    <mergeCell ref="A90:G90"/>
    <mergeCell ref="F34:I34"/>
    <mergeCell ref="D101:E101"/>
    <mergeCell ref="F60:G60"/>
    <mergeCell ref="B61:C61"/>
    <mergeCell ref="D61:E61"/>
    <mergeCell ref="F61:G61"/>
    <mergeCell ref="B62:C62"/>
    <mergeCell ref="D62:E62"/>
    <mergeCell ref="H128:I128"/>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D110:E110"/>
    <mergeCell ref="D109:E109"/>
    <mergeCell ref="A51:A52"/>
    <mergeCell ref="D97:E97"/>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F97:G97"/>
    <mergeCell ref="A96:G96"/>
    <mergeCell ref="A68:I68"/>
    <mergeCell ref="A74:I74"/>
    <mergeCell ref="A86:I86"/>
    <mergeCell ref="D98:E98"/>
    <mergeCell ref="F98:G98"/>
    <mergeCell ref="F102:G102"/>
    <mergeCell ref="B64:C64"/>
    <mergeCell ref="A101:C102"/>
    <mergeCell ref="F101:G101"/>
    <mergeCell ref="A92:G92"/>
    <mergeCell ref="A91:G91"/>
    <mergeCell ref="A79:I79"/>
    <mergeCell ref="A80:I80"/>
    <mergeCell ref="A84:I84"/>
    <mergeCell ref="A81:G82"/>
    <mergeCell ref="A83:G83"/>
    <mergeCell ref="D64:E64"/>
    <mergeCell ref="F64:G64"/>
    <mergeCell ref="B65:C65"/>
    <mergeCell ref="D65:E65"/>
    <mergeCell ref="F65:G65"/>
    <mergeCell ref="A69:F7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H116:I116"/>
    <mergeCell ref="B116:E117"/>
    <mergeCell ref="A109:C109"/>
    <mergeCell ref="F109:G109"/>
    <mergeCell ref="F43:G43"/>
    <mergeCell ref="F44:G44"/>
    <mergeCell ref="A97:C98"/>
    <mergeCell ref="A75:G76"/>
    <mergeCell ref="D47:E47"/>
    <mergeCell ref="D52:E52"/>
    <mergeCell ref="F56:G56"/>
    <mergeCell ref="A73:I73"/>
    <mergeCell ref="F55:G55"/>
    <mergeCell ref="D46:E46"/>
    <mergeCell ref="F117:I117"/>
    <mergeCell ref="A58:G58"/>
    <mergeCell ref="A59:G59"/>
    <mergeCell ref="A60:A61"/>
    <mergeCell ref="B60:C60"/>
    <mergeCell ref="D60:E60"/>
    <mergeCell ref="D107:E107"/>
    <mergeCell ref="A113:I113"/>
    <mergeCell ref="A106:G106"/>
    <mergeCell ref="A114:I114"/>
    <mergeCell ref="A142:I142"/>
    <mergeCell ref="H130:I130"/>
    <mergeCell ref="H131:I131"/>
    <mergeCell ref="H132:I132"/>
    <mergeCell ref="H133:I133"/>
    <mergeCell ref="H129:I129"/>
    <mergeCell ref="C151:E151"/>
    <mergeCell ref="F151:G151"/>
    <mergeCell ref="A149:H149"/>
    <mergeCell ref="A150:A152"/>
    <mergeCell ref="A143:A144"/>
    <mergeCell ref="C129:D129"/>
    <mergeCell ref="C136:D136"/>
    <mergeCell ref="H136:I136"/>
    <mergeCell ref="H137:I137"/>
    <mergeCell ref="H138:I138"/>
    <mergeCell ref="C152:D152"/>
    <mergeCell ref="C126:D126"/>
    <mergeCell ref="C123:E123"/>
    <mergeCell ref="F123:G123"/>
    <mergeCell ref="A49:G49"/>
    <mergeCell ref="B54:C54"/>
    <mergeCell ref="D54:E54"/>
    <mergeCell ref="B51:C51"/>
    <mergeCell ref="D51:E51"/>
    <mergeCell ref="B52:C52"/>
    <mergeCell ref="A50:G50"/>
    <mergeCell ref="F124:G124"/>
    <mergeCell ref="A123:A125"/>
    <mergeCell ref="A93:I93"/>
    <mergeCell ref="A94:I94"/>
    <mergeCell ref="A85:I85"/>
    <mergeCell ref="A116:A117"/>
    <mergeCell ref="F110:G110"/>
    <mergeCell ref="F107:G107"/>
    <mergeCell ref="B123:B125"/>
    <mergeCell ref="C125:D125"/>
    <mergeCell ref="F116:G116"/>
    <mergeCell ref="A115:I115"/>
    <mergeCell ref="D108:E108"/>
    <mergeCell ref="D102:E102"/>
  </mergeCells>
  <phoneticPr fontId="7" type="noConversion"/>
  <pageMargins left="0.43307086614173229" right="0.39370078740157483" top="0.39370078740157483" bottom="0.39370078740157483" header="0.19685039370078741" footer="7.874015748031496E-2"/>
  <pageSetup paperSize="9" scale="78"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47" max="8" man="1"/>
    <brk id="11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8"/>
  <sheetViews>
    <sheetView view="pageBreakPreview" topLeftCell="A79" zoomScaleSheetLayoutView="100" workbookViewId="0">
      <selection activeCell="C10" sqref="C10:D13"/>
    </sheetView>
  </sheetViews>
  <sheetFormatPr defaultColWidth="8.81640625" defaultRowHeight="14"/>
  <cols>
    <col min="1" max="1" width="21.6328125" style="2" customWidth="1"/>
    <col min="2" max="2" width="20.6328125" style="2" customWidth="1"/>
    <col min="3" max="3" width="14" style="2" customWidth="1"/>
    <col min="4" max="4" width="21.6328125" style="2" customWidth="1"/>
    <col min="5" max="5" width="17.08984375" style="2" customWidth="1"/>
    <col min="6" max="6" width="21.36328125" style="2" customWidth="1"/>
    <col min="7" max="7" width="8.984375E-2" style="2" customWidth="1"/>
    <col min="8" max="8" width="17.08984375" style="2" customWidth="1"/>
    <col min="9" max="9" width="26.6328125" style="2" customWidth="1"/>
    <col min="10" max="16384" width="8.81640625" style="2"/>
  </cols>
  <sheetData>
    <row r="1" spans="1:16" ht="28" customHeight="1">
      <c r="A1" s="1186" t="s">
        <v>426</v>
      </c>
      <c r="B1" s="1187"/>
      <c r="C1" s="1187"/>
      <c r="D1" s="1187"/>
      <c r="E1" s="1187"/>
      <c r="F1" s="1187"/>
      <c r="G1" s="1188"/>
      <c r="N1" s="839"/>
      <c r="O1" s="839"/>
      <c r="P1" s="839"/>
    </row>
    <row r="2" spans="1:16" ht="27" customHeight="1" thickBot="1">
      <c r="A2" s="1217" t="str">
        <f>'Forside 1'!A6:I6</f>
        <v>Gældende fra 1. april 2025</v>
      </c>
      <c r="B2" s="1218"/>
      <c r="C2" s="1218"/>
      <c r="D2" s="1218"/>
      <c r="E2" s="1218"/>
      <c r="F2" s="1218"/>
      <c r="G2" s="878"/>
      <c r="H2" s="878"/>
      <c r="I2" s="879"/>
      <c r="N2" s="839"/>
      <c r="O2" s="839"/>
      <c r="P2" s="839"/>
    </row>
    <row r="3" spans="1:16" ht="18" customHeight="1" thickBot="1">
      <c r="A3" s="842"/>
      <c r="B3" s="842"/>
      <c r="C3" s="842"/>
      <c r="D3" s="842"/>
      <c r="E3" s="842"/>
      <c r="F3" s="842"/>
      <c r="G3" s="841"/>
      <c r="N3" s="839"/>
      <c r="O3" s="839"/>
      <c r="P3" s="839"/>
    </row>
    <row r="4" spans="1:16" ht="14" customHeight="1">
      <c r="A4" s="1302" t="s">
        <v>393</v>
      </c>
      <c r="B4" s="1303"/>
      <c r="C4" s="1303"/>
      <c r="D4" s="1303"/>
      <c r="E4" s="1303"/>
      <c r="F4" s="1304"/>
      <c r="G4" s="80"/>
      <c r="N4" s="1279"/>
      <c r="O4" s="1279"/>
      <c r="P4" s="1279"/>
    </row>
    <row r="5" spans="1:16" ht="14" customHeight="1">
      <c r="A5" s="1305"/>
      <c r="B5" s="1306"/>
      <c r="C5" s="1306"/>
      <c r="D5" s="1306"/>
      <c r="E5" s="1306"/>
      <c r="F5" s="1307"/>
      <c r="G5" s="80"/>
      <c r="H5"/>
      <c r="N5" s="42"/>
      <c r="O5" s="42"/>
      <c r="P5" s="42"/>
    </row>
    <row r="6" spans="1:16" customFormat="1" ht="15" customHeight="1" thickBot="1">
      <c r="A6" s="1158" t="s">
        <v>280</v>
      </c>
      <c r="B6" s="1159"/>
      <c r="C6" s="1159"/>
      <c r="D6" s="1159"/>
      <c r="E6" s="1159"/>
      <c r="F6" s="1160"/>
      <c r="G6" s="80"/>
    </row>
    <row r="7" spans="1:16" customFormat="1" ht="15" customHeight="1">
      <c r="A7" s="1298"/>
      <c r="B7" s="1299"/>
      <c r="C7" s="1275" t="s">
        <v>131</v>
      </c>
      <c r="D7" s="1276"/>
      <c r="E7" s="1275" t="s">
        <v>310</v>
      </c>
      <c r="F7" s="1276"/>
      <c r="G7" s="60"/>
    </row>
    <row r="8" spans="1:16" customFormat="1" ht="24" customHeight="1" thickBot="1">
      <c r="A8" s="1300"/>
      <c r="B8" s="1301"/>
      <c r="C8" s="1272">
        <v>40999</v>
      </c>
      <c r="D8" s="1268"/>
      <c r="E8" s="1267" t="str">
        <f>'Løntabel gældende fra'!D1</f>
        <v>01-04-2025</v>
      </c>
      <c r="F8" s="1268"/>
      <c r="G8" s="60"/>
    </row>
    <row r="9" spans="1:16" customFormat="1" ht="17" customHeight="1" thickBot="1">
      <c r="A9" s="1277" t="s">
        <v>115</v>
      </c>
      <c r="B9" s="1278"/>
      <c r="C9" s="1281" t="s">
        <v>287</v>
      </c>
      <c r="D9" s="1270"/>
      <c r="E9" s="1281" t="s">
        <v>287</v>
      </c>
      <c r="F9" s="1270"/>
      <c r="G9" s="60"/>
    </row>
    <row r="10" spans="1:16" customFormat="1" ht="17" customHeight="1">
      <c r="A10" s="1314" t="s">
        <v>116</v>
      </c>
      <c r="B10" s="1315"/>
      <c r="C10" s="97">
        <v>382714</v>
      </c>
      <c r="D10" s="98">
        <v>452573</v>
      </c>
      <c r="E10" s="97">
        <f>C10+C10*'Løntabel gældende fra'!$D$7%</f>
        <v>471922.71983000002</v>
      </c>
      <c r="F10" s="98">
        <f>D10+D10*'Løntabel gældende fra'!$D$7%</f>
        <v>558065.50343499996</v>
      </c>
      <c r="G10" s="53"/>
    </row>
    <row r="11" spans="1:16" customFormat="1" ht="17" customHeight="1">
      <c r="A11" s="1292" t="s">
        <v>117</v>
      </c>
      <c r="B11" s="1293"/>
      <c r="C11" s="99">
        <v>412239</v>
      </c>
      <c r="D11" s="123">
        <v>492583</v>
      </c>
      <c r="E11" s="100">
        <f>C11+C11*'Løntabel gældende fra'!$D$7%</f>
        <v>508329.849705</v>
      </c>
      <c r="F11" s="95">
        <f>D11+D11*'Løntabel gældende fra'!$D$7%</f>
        <v>607401.63438499998</v>
      </c>
      <c r="G11" s="53"/>
    </row>
    <row r="12" spans="1:16" customFormat="1" ht="17" customHeight="1">
      <c r="A12" s="1316" t="s">
        <v>391</v>
      </c>
      <c r="B12" s="1317"/>
      <c r="C12" s="100">
        <v>447845</v>
      </c>
      <c r="D12" s="95">
        <v>537363</v>
      </c>
      <c r="E12" s="100">
        <f>C12+C12*'Løntabel gældende fra'!$D$7%</f>
        <v>552235.43027499993</v>
      </c>
      <c r="F12" s="95">
        <f>D12+D12*'Løntabel gældende fra'!$D$7%</f>
        <v>662619.62848499999</v>
      </c>
      <c r="G12" s="53"/>
      <c r="H12" s="57"/>
    </row>
    <row r="13" spans="1:16" s="57" customFormat="1" ht="17" customHeight="1" thickBot="1">
      <c r="A13" s="1310" t="s">
        <v>392</v>
      </c>
      <c r="B13" s="1311"/>
      <c r="C13" s="696">
        <v>447845</v>
      </c>
      <c r="D13" s="697">
        <v>592411</v>
      </c>
      <c r="E13" s="696">
        <f>C13+C13*'Løntabel gældende fra'!$D$7%</f>
        <v>552235.43027499993</v>
      </c>
      <c r="F13" s="697">
        <f>D13+D13*'Løntabel gældende fra'!$D$7%</f>
        <v>730499.04204500001</v>
      </c>
      <c r="G13" s="53"/>
      <c r="H13" s="2"/>
    </row>
    <row r="14" spans="1:16" ht="18" customHeight="1" thickBot="1">
      <c r="A14" s="79"/>
      <c r="B14" s="79"/>
      <c r="C14" s="79"/>
      <c r="D14" s="79"/>
      <c r="E14" s="79"/>
      <c r="F14" s="79"/>
      <c r="G14" s="79"/>
    </row>
    <row r="15" spans="1:16" ht="14" customHeight="1">
      <c r="A15" s="1142" t="s">
        <v>396</v>
      </c>
      <c r="B15" s="1143"/>
      <c r="C15" s="1143"/>
      <c r="D15" s="1143"/>
      <c r="E15" s="1143"/>
      <c r="F15" s="1144"/>
      <c r="G15" s="80"/>
      <c r="H15" s="709"/>
    </row>
    <row r="16" spans="1:16" ht="14" customHeight="1">
      <c r="A16" s="1289"/>
      <c r="B16" s="1290"/>
      <c r="C16" s="1290"/>
      <c r="D16" s="1290"/>
      <c r="E16" s="1290"/>
      <c r="F16" s="1291"/>
      <c r="G16" s="80"/>
      <c r="H16" s="709" t="s">
        <v>129</v>
      </c>
      <c r="I16" s="709"/>
      <c r="N16" s="42"/>
      <c r="O16" s="42"/>
      <c r="P16" s="42"/>
    </row>
    <row r="17" spans="1:16" customFormat="1" ht="15" customHeight="1" thickBot="1">
      <c r="A17" s="1158" t="s">
        <v>280</v>
      </c>
      <c r="B17" s="1159"/>
      <c r="C17" s="1159"/>
      <c r="D17" s="1159"/>
      <c r="E17" s="1159"/>
      <c r="F17" s="1160"/>
      <c r="G17" s="80"/>
      <c r="H17" s="710"/>
      <c r="I17" s="709"/>
    </row>
    <row r="18" spans="1:16" customFormat="1" ht="15" customHeight="1">
      <c r="A18" s="1118"/>
      <c r="B18" s="1120"/>
      <c r="C18" s="1271" t="s">
        <v>131</v>
      </c>
      <c r="D18" s="1084"/>
      <c r="E18" s="1271" t="s">
        <v>310</v>
      </c>
      <c r="F18" s="1084"/>
      <c r="G18" s="60"/>
      <c r="H18" s="709"/>
      <c r="I18" s="710"/>
    </row>
    <row r="19" spans="1:16" customFormat="1" ht="24" customHeight="1" thickBot="1">
      <c r="A19" s="1273"/>
      <c r="B19" s="1274"/>
      <c r="C19" s="1272">
        <v>40999</v>
      </c>
      <c r="D19" s="1268"/>
      <c r="E19" s="1267" t="str">
        <f>'Løntabel gældende fra'!D1</f>
        <v>01-04-2025</v>
      </c>
      <c r="F19" s="1268"/>
      <c r="G19" s="60"/>
      <c r="H19" s="710">
        <v>35388</v>
      </c>
      <c r="I19" s="709"/>
    </row>
    <row r="20" spans="1:16" customFormat="1" ht="17" customHeight="1" thickBot="1">
      <c r="A20" s="698" t="s">
        <v>115</v>
      </c>
      <c r="B20" s="420" t="s">
        <v>119</v>
      </c>
      <c r="C20" s="1269" t="s">
        <v>287</v>
      </c>
      <c r="D20" s="1270"/>
      <c r="E20" s="1281" t="s">
        <v>287</v>
      </c>
      <c r="F20" s="1270"/>
      <c r="G20" s="60"/>
      <c r="H20" s="710">
        <v>35388</v>
      </c>
      <c r="I20" s="710">
        <v>26213</v>
      </c>
    </row>
    <row r="21" spans="1:16" customFormat="1" ht="17" customHeight="1">
      <c r="A21" s="702" t="s">
        <v>120</v>
      </c>
      <c r="B21" s="701" t="s">
        <v>121</v>
      </c>
      <c r="C21" s="124">
        <f>C10+H19</f>
        <v>418102</v>
      </c>
      <c r="D21" s="125">
        <f>D10+I20</f>
        <v>478786</v>
      </c>
      <c r="E21" s="121">
        <f>C21+C21*'Løntabel gældende fra'!$D$7%</f>
        <v>515559.48569</v>
      </c>
      <c r="F21" s="122">
        <f>D21+D21*'Løntabel gældende fra'!$D$7%</f>
        <v>590388.62266999995</v>
      </c>
      <c r="G21" s="53"/>
      <c r="H21" s="710">
        <v>35388</v>
      </c>
      <c r="I21" s="710">
        <v>26213</v>
      </c>
    </row>
    <row r="22" spans="1:16" customFormat="1" ht="17" customHeight="1">
      <c r="A22" s="407" t="s">
        <v>117</v>
      </c>
      <c r="B22" s="90" t="s">
        <v>121</v>
      </c>
      <c r="C22" s="99">
        <f>C11+H20</f>
        <v>447627</v>
      </c>
      <c r="D22" s="123">
        <f>D11+I21</f>
        <v>518796</v>
      </c>
      <c r="E22" s="96">
        <f>C22+C22*'Løntabel gældende fra'!$D$7%</f>
        <v>551966.61556499999</v>
      </c>
      <c r="F22" s="95">
        <f>D22+D22*'Løntabel gældende fra'!$D$7%</f>
        <v>639724.75361999997</v>
      </c>
      <c r="G22" s="53"/>
      <c r="H22" s="710">
        <v>52426</v>
      </c>
      <c r="I22" s="710">
        <v>26213</v>
      </c>
    </row>
    <row r="23" spans="1:16" s="57" customFormat="1" ht="17" customHeight="1">
      <c r="A23" s="699" t="s">
        <v>118</v>
      </c>
      <c r="B23" s="700" t="s">
        <v>121</v>
      </c>
      <c r="C23" s="124">
        <f>C12+H21</f>
        <v>483233</v>
      </c>
      <c r="D23" s="125">
        <f>D12+I22</f>
        <v>563576</v>
      </c>
      <c r="E23" s="126">
        <f>C23+C23*'Løntabel gældende fra'!$D$7%</f>
        <v>595872.19613499998</v>
      </c>
      <c r="F23" s="127">
        <f>D23+D23*'Løntabel gældende fra'!$D$7%</f>
        <v>694942.74771999998</v>
      </c>
      <c r="G23" s="53"/>
      <c r="H23" s="710">
        <v>52426</v>
      </c>
      <c r="I23" s="710">
        <v>43252</v>
      </c>
    </row>
    <row r="24" spans="1:16" s="57" customFormat="1" ht="17" customHeight="1">
      <c r="A24" s="703" t="s">
        <v>122</v>
      </c>
      <c r="B24" s="705" t="s">
        <v>123</v>
      </c>
      <c r="C24" s="100">
        <f>C10+H22</f>
        <v>435140</v>
      </c>
      <c r="D24" s="95">
        <f>D10+I23</f>
        <v>495825</v>
      </c>
      <c r="E24" s="96">
        <f>C24+C24*'Løntabel gældende fra'!$D$7%</f>
        <v>536568.95830000006</v>
      </c>
      <c r="F24" s="95">
        <f>D24+D24*'Løntabel gældende fra'!$D$7%</f>
        <v>611399.32837500004</v>
      </c>
      <c r="G24" s="67"/>
      <c r="H24" s="710">
        <v>52426</v>
      </c>
      <c r="I24" s="710">
        <v>43252</v>
      </c>
    </row>
    <row r="25" spans="1:16" s="57" customFormat="1" ht="17" customHeight="1">
      <c r="A25" s="703" t="s">
        <v>117</v>
      </c>
      <c r="B25" s="705" t="s">
        <v>123</v>
      </c>
      <c r="C25" s="124">
        <f>C11+H23</f>
        <v>464665</v>
      </c>
      <c r="D25" s="125">
        <f>D11+I24</f>
        <v>535835</v>
      </c>
      <c r="E25" s="128">
        <f>C25+C25*'Løntabel gældende fra'!$D$7%</f>
        <v>572976.08817500004</v>
      </c>
      <c r="F25" s="125">
        <f>D25+D25*'Løntabel gældende fra'!$D$7%</f>
        <v>660735.45932499995</v>
      </c>
      <c r="G25" s="67"/>
      <c r="H25" s="711">
        <v>70776</v>
      </c>
      <c r="I25" s="710">
        <v>43252</v>
      </c>
    </row>
    <row r="26" spans="1:16" s="57" customFormat="1" ht="17" customHeight="1">
      <c r="A26" s="703" t="s">
        <v>118</v>
      </c>
      <c r="B26" s="705" t="s">
        <v>123</v>
      </c>
      <c r="C26" s="100">
        <f>C12+H24</f>
        <v>500271</v>
      </c>
      <c r="D26" s="95">
        <f>D12+I25</f>
        <v>580615</v>
      </c>
      <c r="E26" s="96">
        <f>C26+C26*'Løntabel gældende fra'!$D$7%</f>
        <v>616881.66874500003</v>
      </c>
      <c r="F26" s="95">
        <f>D26+D26*'Løntabel gældende fra'!$D$7%</f>
        <v>715953.45342499996</v>
      </c>
      <c r="G26" s="67"/>
      <c r="H26" s="711">
        <v>70776</v>
      </c>
      <c r="I26" s="711">
        <v>61601</v>
      </c>
    </row>
    <row r="27" spans="1:16" s="57" customFormat="1" ht="17" customHeight="1">
      <c r="A27" s="703" t="s">
        <v>122</v>
      </c>
      <c r="B27" s="705" t="s">
        <v>124</v>
      </c>
      <c r="C27" s="100">
        <f>C10+H25</f>
        <v>453490</v>
      </c>
      <c r="D27" s="95">
        <f>D10+I26</f>
        <v>514174</v>
      </c>
      <c r="E27" s="121">
        <f>C27+C27*'Løntabel gældende fra'!$D$7%</f>
        <v>559196.25155000004</v>
      </c>
      <c r="F27" s="122">
        <f>D27+D27*'Løntabel gældende fra'!$D$7%</f>
        <v>634025.38853</v>
      </c>
      <c r="G27" s="67"/>
      <c r="H27" s="711">
        <v>70776</v>
      </c>
      <c r="I27" s="711">
        <v>61601</v>
      </c>
    </row>
    <row r="28" spans="1:16" s="57" customFormat="1" ht="17" customHeight="1">
      <c r="A28" s="703" t="s">
        <v>117</v>
      </c>
      <c r="B28" s="705" t="s">
        <v>124</v>
      </c>
      <c r="C28" s="100">
        <f>C11+H26</f>
        <v>483015</v>
      </c>
      <c r="D28" s="95">
        <f>D11+I27</f>
        <v>554184</v>
      </c>
      <c r="E28" s="96">
        <f>C28+C28*'Løntabel gældende fra'!$D$7%</f>
        <v>595603.38142500003</v>
      </c>
      <c r="F28" s="95">
        <f>D28+D28*'Løntabel gældende fra'!$D$7%</f>
        <v>683361.51948000002</v>
      </c>
      <c r="G28" s="67"/>
      <c r="H28" s="711"/>
      <c r="I28" s="711">
        <v>61601</v>
      </c>
    </row>
    <row r="29" spans="1:16" s="57" customFormat="1" ht="18" customHeight="1" thickBot="1">
      <c r="A29" s="704" t="s">
        <v>118</v>
      </c>
      <c r="B29" s="706" t="s">
        <v>124</v>
      </c>
      <c r="C29" s="101">
        <f>C12+H27</f>
        <v>518621</v>
      </c>
      <c r="D29" s="103">
        <f>D12+I28</f>
        <v>598964</v>
      </c>
      <c r="E29" s="102">
        <f>C29+C29*'Løntabel gældende fra'!$D$7%</f>
        <v>639508.96199500002</v>
      </c>
      <c r="F29" s="103">
        <f>D29+D29*'Løntabel gældende fra'!$D$7%</f>
        <v>738579.51358000003</v>
      </c>
      <c r="G29" s="67"/>
      <c r="H29" s="2"/>
      <c r="I29" s="711"/>
    </row>
    <row r="30" spans="1:16" ht="24" customHeight="1" thickBot="1">
      <c r="A30" s="67"/>
      <c r="B30" s="67"/>
      <c r="C30" s="67"/>
      <c r="D30" s="67"/>
      <c r="E30" s="67"/>
      <c r="F30" s="67"/>
      <c r="G30" s="67"/>
      <c r="N30" s="1288"/>
      <c r="O30" s="1288"/>
      <c r="P30" s="1288"/>
    </row>
    <row r="31" spans="1:16" ht="11" customHeight="1">
      <c r="A31" s="1282" t="s">
        <v>416</v>
      </c>
      <c r="B31" s="1283"/>
      <c r="C31" s="1283"/>
      <c r="D31" s="1283"/>
      <c r="E31" s="1283"/>
      <c r="F31" s="1284"/>
      <c r="G31" s="80"/>
      <c r="N31" s="1279"/>
      <c r="O31" s="1279"/>
      <c r="P31" s="1279"/>
    </row>
    <row r="32" spans="1:16" ht="14" customHeight="1">
      <c r="A32" s="1285"/>
      <c r="B32" s="1286"/>
      <c r="C32" s="1286"/>
      <c r="D32" s="1286"/>
      <c r="E32" s="1286"/>
      <c r="F32" s="1287"/>
      <c r="G32" s="80"/>
      <c r="H32"/>
      <c r="N32" s="42"/>
      <c r="O32" s="42"/>
      <c r="P32" s="42"/>
    </row>
    <row r="33" spans="1:11" customFormat="1" ht="15" customHeight="1" thickBot="1">
      <c r="A33" s="1158" t="s">
        <v>280</v>
      </c>
      <c r="B33" s="1159"/>
      <c r="C33" s="1159"/>
      <c r="D33" s="1159"/>
      <c r="E33" s="1159"/>
      <c r="F33" s="1160"/>
      <c r="G33" s="80"/>
    </row>
    <row r="34" spans="1:11" customFormat="1" ht="15" customHeight="1">
      <c r="A34" s="1118"/>
      <c r="B34" s="1120"/>
      <c r="C34" s="1271" t="s">
        <v>131</v>
      </c>
      <c r="D34" s="1084"/>
      <c r="E34" s="1271" t="s">
        <v>310</v>
      </c>
      <c r="F34" s="1084"/>
      <c r="G34" s="60"/>
    </row>
    <row r="35" spans="1:11" customFormat="1" ht="24" customHeight="1" thickBot="1">
      <c r="A35" s="1121"/>
      <c r="B35" s="1123"/>
      <c r="C35" s="1272">
        <v>40999</v>
      </c>
      <c r="D35" s="1268"/>
      <c r="E35" s="1267" t="str">
        <f>'Løntabel gældende fra'!D1</f>
        <v>01-04-2025</v>
      </c>
      <c r="F35" s="1268"/>
      <c r="G35" s="60"/>
    </row>
    <row r="36" spans="1:11" customFormat="1" ht="24" customHeight="1" thickBot="1">
      <c r="A36" s="1312" t="s">
        <v>115</v>
      </c>
      <c r="B36" s="1313"/>
      <c r="C36" s="1308" t="s">
        <v>238</v>
      </c>
      <c r="D36" s="1309"/>
      <c r="E36" s="1281" t="s">
        <v>238</v>
      </c>
      <c r="F36" s="1270"/>
      <c r="G36" s="60"/>
    </row>
    <row r="37" spans="1:11" customFormat="1" ht="22" customHeight="1">
      <c r="A37" s="1324" t="s">
        <v>394</v>
      </c>
      <c r="B37" s="1325"/>
      <c r="C37" s="1328">
        <v>353412</v>
      </c>
      <c r="D37" s="1329"/>
      <c r="E37" s="1328">
        <f>C37+C37*'Løntabel gældende fra'!$D$7%</f>
        <v>435790.57013999997</v>
      </c>
      <c r="F37" s="1329"/>
      <c r="G37" s="53"/>
      <c r="H37" s="67"/>
    </row>
    <row r="38" spans="1:11" s="57" customFormat="1" ht="23" customHeight="1" thickBot="1">
      <c r="A38" s="1326" t="s">
        <v>118</v>
      </c>
      <c r="B38" s="1327"/>
      <c r="C38" s="1330">
        <v>396929</v>
      </c>
      <c r="D38" s="1331"/>
      <c r="E38" s="1341">
        <f>C38+C38*'Løntabel gældende fra'!$D$7%</f>
        <v>489451.165255</v>
      </c>
      <c r="F38" s="1342"/>
      <c r="G38" s="53"/>
      <c r="H38" s="67"/>
      <c r="I38" s="67"/>
      <c r="J38" s="67"/>
      <c r="K38" s="67"/>
    </row>
    <row r="39" spans="1:11" s="57" customFormat="1" ht="7" customHeight="1">
      <c r="A39" s="1343"/>
      <c r="B39" s="1343"/>
      <c r="C39" s="1343"/>
      <c r="D39" s="1343"/>
      <c r="E39" s="1343"/>
      <c r="F39" s="118"/>
      <c r="G39" s="67"/>
      <c r="H39" s="67"/>
      <c r="I39" s="67"/>
      <c r="J39" s="67"/>
      <c r="K39" s="67"/>
    </row>
    <row r="40" spans="1:11" s="57" customFormat="1" ht="19.75" customHeight="1" thickBot="1">
      <c r="A40" s="601"/>
      <c r="B40" s="602"/>
      <c r="C40" s="601"/>
      <c r="D40" s="603"/>
      <c r="E40" s="603"/>
      <c r="F40" s="603"/>
      <c r="G40" s="67"/>
      <c r="H40" s="67"/>
      <c r="I40" s="67"/>
      <c r="J40" s="67"/>
      <c r="K40" s="67"/>
    </row>
    <row r="41" spans="1:11" s="57" customFormat="1" ht="20.5" thickBot="1">
      <c r="A41" s="1332" t="s">
        <v>163</v>
      </c>
      <c r="B41" s="1333"/>
      <c r="C41" s="1333"/>
      <c r="D41" s="1333"/>
      <c r="E41" s="1333"/>
      <c r="F41" s="1333"/>
      <c r="G41" s="1334"/>
      <c r="H41" s="67"/>
      <c r="I41" s="67"/>
      <c r="J41" s="67"/>
      <c r="K41" s="67"/>
    </row>
    <row r="42" spans="1:11" s="57" customFormat="1" ht="50" customHeight="1">
      <c r="A42" s="1085" t="s">
        <v>417</v>
      </c>
      <c r="B42" s="1335" t="s">
        <v>425</v>
      </c>
      <c r="C42" s="1336"/>
      <c r="D42" s="1337"/>
      <c r="E42" s="319" t="s">
        <v>131</v>
      </c>
      <c r="F42" s="595" t="s">
        <v>310</v>
      </c>
      <c r="G42" s="513"/>
      <c r="H42" s="67"/>
      <c r="I42" s="67"/>
      <c r="J42" s="67"/>
      <c r="K42" s="67"/>
    </row>
    <row r="43" spans="1:11" s="57" customFormat="1" ht="35.4" customHeight="1" thickBot="1">
      <c r="A43" s="1086"/>
      <c r="B43" s="1338"/>
      <c r="C43" s="1339"/>
      <c r="D43" s="1340"/>
      <c r="E43" s="707">
        <v>40999</v>
      </c>
      <c r="F43" s="708" t="str">
        <f>'Løntabel gældende fra'!$D$1</f>
        <v>01-04-2025</v>
      </c>
      <c r="G43" s="514"/>
      <c r="H43" s="67"/>
      <c r="I43" s="67"/>
      <c r="J43" s="67"/>
      <c r="K43" s="67"/>
    </row>
    <row r="44" spans="1:11" s="57" customFormat="1" ht="20.399999999999999" customHeight="1" thickBot="1">
      <c r="A44" s="1194"/>
      <c r="B44" s="1321" t="s">
        <v>424</v>
      </c>
      <c r="C44" s="1322"/>
      <c r="D44" s="1323"/>
      <c r="E44" s="516">
        <v>130000</v>
      </c>
      <c r="F44" s="517">
        <f>E44+E44*'Løntabel gældende fra'!$D$7%</f>
        <v>160302.35</v>
      </c>
      <c r="G44" s="515"/>
      <c r="H44" s="67"/>
      <c r="I44" s="67"/>
      <c r="J44" s="67"/>
      <c r="K44" s="67"/>
    </row>
    <row r="45" spans="1:11" s="57" customFormat="1" ht="20.5" thickBot="1">
      <c r="A45" s="204" t="s">
        <v>418</v>
      </c>
      <c r="B45" s="1318" t="s">
        <v>395</v>
      </c>
      <c r="C45" s="1319"/>
      <c r="D45" s="1319"/>
      <c r="E45" s="1319"/>
      <c r="F45" s="1319"/>
      <c r="G45" s="1320"/>
      <c r="H45" s="77"/>
      <c r="I45" s="67"/>
      <c r="J45" s="67"/>
      <c r="K45" s="67"/>
    </row>
    <row r="46" spans="1:11" ht="36" customHeight="1" thickBot="1">
      <c r="A46" s="57"/>
      <c r="B46" s="73"/>
      <c r="C46" s="57"/>
      <c r="D46" s="117"/>
      <c r="E46" s="117"/>
      <c r="F46" s="117"/>
      <c r="G46" s="67"/>
      <c r="H46" s="78"/>
    </row>
    <row r="47" spans="1:11" ht="34" customHeight="1">
      <c r="A47" s="1282" t="s">
        <v>434</v>
      </c>
      <c r="B47" s="1283"/>
      <c r="C47" s="1283"/>
      <c r="D47" s="1283"/>
      <c r="E47" s="1283"/>
      <c r="F47" s="1283"/>
      <c r="G47" s="1284"/>
      <c r="H47" s="78"/>
    </row>
    <row r="48" spans="1:11" s="57" customFormat="1" ht="26" customHeight="1" thickBot="1">
      <c r="A48" s="1264" t="str">
        <f>'Løntabel gældende fra'!$D$1</f>
        <v>01-04-2025</v>
      </c>
      <c r="B48" s="1265"/>
      <c r="C48" s="1265"/>
      <c r="D48" s="1265"/>
      <c r="E48" s="1265"/>
      <c r="F48" s="1265"/>
      <c r="G48" s="1345"/>
      <c r="H48" s="78"/>
    </row>
    <row r="49" spans="1:8" s="57" customFormat="1" ht="26" customHeight="1">
      <c r="A49" s="1294" t="s">
        <v>88</v>
      </c>
      <c r="B49" s="1295"/>
      <c r="C49" s="1295"/>
      <c r="D49" s="1295"/>
      <c r="E49" s="1295"/>
      <c r="F49" s="1296"/>
      <c r="G49" s="882"/>
      <c r="H49" s="78"/>
    </row>
    <row r="50" spans="1:8" s="57" customFormat="1" ht="32" customHeight="1">
      <c r="A50" s="1349" t="s">
        <v>436</v>
      </c>
      <c r="B50" s="1350"/>
      <c r="C50" s="1350"/>
      <c r="D50" s="1350"/>
      <c r="E50" s="1350"/>
      <c r="F50" s="1351"/>
      <c r="G50" s="883"/>
      <c r="H50" s="78"/>
    </row>
    <row r="51" spans="1:8" s="57" customFormat="1" ht="30" customHeight="1">
      <c r="A51" s="1297" t="s">
        <v>435</v>
      </c>
      <c r="B51" s="1297"/>
      <c r="C51" s="1297"/>
      <c r="D51" s="1297"/>
      <c r="E51" s="1297"/>
      <c r="F51" s="1297"/>
      <c r="G51" s="883"/>
      <c r="H51" s="78"/>
    </row>
    <row r="52" spans="1:8" s="57" customFormat="1" ht="47" customHeight="1">
      <c r="A52" s="1346" t="s">
        <v>125</v>
      </c>
      <c r="B52" s="1346"/>
      <c r="C52" s="1346"/>
      <c r="D52" s="1346"/>
      <c r="E52" s="1346"/>
      <c r="F52" s="1346"/>
      <c r="G52" s="1346"/>
      <c r="H52" s="78"/>
    </row>
    <row r="53" spans="1:8" s="57" customFormat="1" ht="14" customHeight="1">
      <c r="A53" s="82"/>
      <c r="B53" s="82"/>
      <c r="C53" s="82"/>
      <c r="D53" s="82"/>
      <c r="E53" s="82"/>
      <c r="F53" s="82"/>
      <c r="G53" s="82"/>
      <c r="H53" s="78"/>
    </row>
    <row r="54" spans="1:8" s="57" customFormat="1" ht="14" customHeight="1">
      <c r="A54" s="1297" t="s">
        <v>126</v>
      </c>
      <c r="B54" s="1347" t="s">
        <v>481</v>
      </c>
      <c r="C54" s="1347"/>
      <c r="D54" s="1347"/>
      <c r="E54" s="1347"/>
      <c r="F54" s="1347"/>
      <c r="G54" s="1347"/>
      <c r="H54" s="78"/>
    </row>
    <row r="55" spans="1:8" s="57" customFormat="1" ht="14" customHeight="1">
      <c r="A55" s="1297"/>
      <c r="B55" s="81" t="s">
        <v>540</v>
      </c>
      <c r="C55" s="500"/>
      <c r="D55" s="500"/>
      <c r="E55" s="500"/>
      <c r="F55" s="500"/>
      <c r="G55" s="500"/>
      <c r="H55" s="78"/>
    </row>
    <row r="56" spans="1:8" s="57" customFormat="1" ht="14" customHeight="1">
      <c r="A56" s="1297"/>
      <c r="B56" s="1347" t="s">
        <v>541</v>
      </c>
      <c r="C56" s="1347"/>
      <c r="D56" s="1347"/>
      <c r="E56" s="1347"/>
      <c r="F56" s="1347"/>
      <c r="G56" s="1347"/>
      <c r="H56" s="78"/>
    </row>
    <row r="57" spans="1:8" s="57" customFormat="1" ht="14" customHeight="1">
      <c r="A57" s="83"/>
      <c r="B57" s="1347"/>
      <c r="C57" s="1347"/>
      <c r="D57" s="1347"/>
      <c r="E57" s="1347"/>
      <c r="F57" s="1347"/>
      <c r="G57" s="1347"/>
      <c r="H57" s="78"/>
    </row>
    <row r="58" spans="1:8" s="57" customFormat="1" ht="14" customHeight="1">
      <c r="A58" s="83"/>
      <c r="B58" s="500"/>
      <c r="C58" s="500"/>
      <c r="D58" s="500"/>
      <c r="E58" s="500"/>
      <c r="F58" s="500"/>
      <c r="G58" s="500"/>
      <c r="H58" s="78"/>
    </row>
    <row r="59" spans="1:8" s="57" customFormat="1" ht="14" customHeight="1">
      <c r="A59" s="1297" t="s">
        <v>127</v>
      </c>
      <c r="B59" s="1347" t="s">
        <v>482</v>
      </c>
      <c r="C59" s="1347"/>
      <c r="D59" s="1347"/>
      <c r="E59" s="1347"/>
      <c r="F59" s="1347"/>
      <c r="G59" s="1347"/>
      <c r="H59" s="78"/>
    </row>
    <row r="60" spans="1:8" s="57" customFormat="1" ht="14" customHeight="1">
      <c r="A60" s="1297"/>
      <c r="B60" s="81" t="s">
        <v>542</v>
      </c>
      <c r="C60" s="500"/>
      <c r="D60" s="500"/>
      <c r="E60" s="500"/>
      <c r="F60" s="500"/>
      <c r="G60" s="500"/>
      <c r="H60" s="78"/>
    </row>
    <row r="61" spans="1:8" s="57" customFormat="1" ht="14" customHeight="1">
      <c r="A61" s="1297"/>
      <c r="B61" s="1347" t="s">
        <v>543</v>
      </c>
      <c r="C61" s="1347"/>
      <c r="D61" s="1347"/>
      <c r="E61" s="1347"/>
      <c r="F61" s="1347"/>
      <c r="G61" s="1347"/>
      <c r="H61" s="78"/>
    </row>
    <row r="62" spans="1:8" s="57" customFormat="1" ht="12" customHeight="1">
      <c r="A62" s="83"/>
      <c r="B62" s="1347"/>
      <c r="C62" s="1347"/>
      <c r="D62" s="1347"/>
      <c r="E62" s="1347"/>
      <c r="F62" s="1347"/>
      <c r="G62" s="1347"/>
      <c r="H62" s="2"/>
    </row>
    <row r="63" spans="1:8" ht="18" customHeight="1" thickBot="1">
      <c r="A63" s="67"/>
      <c r="B63" s="67"/>
      <c r="C63" s="67"/>
      <c r="D63" s="67"/>
      <c r="E63" s="67"/>
      <c r="F63" s="67"/>
      <c r="G63" s="67"/>
    </row>
    <row r="64" spans="1:8" ht="18" customHeight="1">
      <c r="A64" s="1085" t="s">
        <v>57</v>
      </c>
      <c r="B64" s="1056" t="s">
        <v>23</v>
      </c>
      <c r="C64" s="1115"/>
      <c r="D64" s="1056" t="s">
        <v>24</v>
      </c>
      <c r="E64" s="1115"/>
      <c r="F64" s="585" t="s">
        <v>313</v>
      </c>
      <c r="G64" s="1085" t="s">
        <v>95</v>
      </c>
    </row>
    <row r="65" spans="1:8" ht="19" customHeight="1" thickBot="1">
      <c r="A65" s="1086"/>
      <c r="B65" s="588">
        <v>40999</v>
      </c>
      <c r="C65" s="589"/>
      <c r="D65" s="1071" t="str">
        <f>'Løntabel gældende fra'!$D$1</f>
        <v>01-04-2025</v>
      </c>
      <c r="E65" s="1348"/>
      <c r="F65" s="586" t="str">
        <f>'Løntabel gældende fra'!$D$1</f>
        <v>01-04-2025</v>
      </c>
      <c r="G65" s="1086"/>
      <c r="H65" s="45"/>
    </row>
    <row r="66" spans="1:8" ht="14" customHeight="1" thickBot="1">
      <c r="A66" s="1086"/>
      <c r="B66" s="590" t="s">
        <v>86</v>
      </c>
      <c r="C66" s="587" t="s">
        <v>161</v>
      </c>
      <c r="D66" s="313" t="s">
        <v>86</v>
      </c>
      <c r="E66" s="397" t="s">
        <v>161</v>
      </c>
      <c r="F66" s="397" t="s">
        <v>161</v>
      </c>
      <c r="G66" s="318">
        <v>0.15</v>
      </c>
    </row>
    <row r="67" spans="1:8">
      <c r="A67" s="346">
        <v>31</v>
      </c>
      <c r="B67" s="411">
        <f>+'Statens skalatrin'!N96</f>
        <v>290512.64000000001</v>
      </c>
      <c r="C67" s="411">
        <f>ROUND(B67/12,2)</f>
        <v>24209.39</v>
      </c>
      <c r="D67" s="412">
        <f>ROUND(B67*(1+'Løntabel gældende fra'!$D$7/100),0)</f>
        <v>358230</v>
      </c>
      <c r="E67" s="821">
        <f>ROUND(D67/12,2)</f>
        <v>29852.5</v>
      </c>
      <c r="F67" s="822">
        <f>ROUND(E67*15%,2)</f>
        <v>4477.88</v>
      </c>
      <c r="G67" s="413">
        <f>F67*$G$66</f>
        <v>671.68200000000002</v>
      </c>
    </row>
    <row r="68" spans="1:8">
      <c r="A68" s="407">
        <v>32</v>
      </c>
      <c r="B68" s="180">
        <f>+'Statens skalatrin'!N99</f>
        <v>296125.21000000002</v>
      </c>
      <c r="C68" s="593">
        <f t="shared" ref="C68:C86" si="0">ROUND(B68/12,2)</f>
        <v>24677.1</v>
      </c>
      <c r="D68" s="591">
        <f>ROUND(B68*(1+'Løntabel gældende fra'!$D$7/100),0)</f>
        <v>365151</v>
      </c>
      <c r="E68" s="823">
        <f t="shared" ref="E68:E86" si="1">ROUND(D68/12,2)</f>
        <v>30429.25</v>
      </c>
      <c r="F68" s="814">
        <f t="shared" ref="F68:F86" si="2">ROUND(E68*15%,2)</f>
        <v>4564.3900000000003</v>
      </c>
      <c r="G68" s="179">
        <f t="shared" ref="G68:G86" si="3">F68*$G$66</f>
        <v>684.6585</v>
      </c>
    </row>
    <row r="69" spans="1:8">
      <c r="A69" s="407">
        <v>33</v>
      </c>
      <c r="B69" s="180">
        <f>+'Statens skalatrin'!N102</f>
        <v>301881.8</v>
      </c>
      <c r="C69" s="593">
        <f t="shared" si="0"/>
        <v>25156.82</v>
      </c>
      <c r="D69" s="591">
        <f>ROUND(B69*(1+'Løntabel gældende fra'!$D$7/100),0)</f>
        <v>372249</v>
      </c>
      <c r="E69" s="823">
        <f t="shared" si="1"/>
        <v>31020.75</v>
      </c>
      <c r="F69" s="814">
        <f t="shared" si="2"/>
        <v>4653.1099999999997</v>
      </c>
      <c r="G69" s="179">
        <f t="shared" si="3"/>
        <v>697.96649999999988</v>
      </c>
    </row>
    <row r="70" spans="1:8">
      <c r="A70" s="407">
        <v>34</v>
      </c>
      <c r="B70" s="180">
        <f>+'Statens skalatrin'!N105</f>
        <v>307790.62</v>
      </c>
      <c r="C70" s="593">
        <f t="shared" si="0"/>
        <v>25649.22</v>
      </c>
      <c r="D70" s="591">
        <f>ROUND(B70*(1+'Løntabel gældende fra'!$D$7/100),0)</f>
        <v>379535</v>
      </c>
      <c r="E70" s="823">
        <f t="shared" si="1"/>
        <v>31627.919999999998</v>
      </c>
      <c r="F70" s="814">
        <f t="shared" si="2"/>
        <v>4744.1899999999996</v>
      </c>
      <c r="G70" s="179">
        <f t="shared" si="3"/>
        <v>711.62849999999992</v>
      </c>
    </row>
    <row r="71" spans="1:8">
      <c r="A71" s="407">
        <v>35</v>
      </c>
      <c r="B71" s="180">
        <f>+'Statens skalatrin'!N108</f>
        <v>313854.56</v>
      </c>
      <c r="C71" s="593">
        <f t="shared" si="0"/>
        <v>26154.55</v>
      </c>
      <c r="D71" s="591">
        <f>ROUND(B71*(1+'Løntabel gældende fra'!$D$7/100),0)</f>
        <v>387012</v>
      </c>
      <c r="E71" s="823">
        <f t="shared" si="1"/>
        <v>32251</v>
      </c>
      <c r="F71" s="814">
        <f t="shared" si="2"/>
        <v>4837.6499999999996</v>
      </c>
      <c r="G71" s="179">
        <f t="shared" si="3"/>
        <v>725.64749999999992</v>
      </c>
    </row>
    <row r="72" spans="1:8">
      <c r="A72" s="407">
        <v>36</v>
      </c>
      <c r="B72" s="180">
        <f>+'Statens skalatrin'!N111</f>
        <v>320074.68</v>
      </c>
      <c r="C72" s="593">
        <f t="shared" si="0"/>
        <v>26672.89</v>
      </c>
      <c r="D72" s="591">
        <f>ROUND(B72*(1+'Løntabel gældende fra'!$D$7/100),0)</f>
        <v>394682</v>
      </c>
      <c r="E72" s="823">
        <f t="shared" si="1"/>
        <v>32890.17</v>
      </c>
      <c r="F72" s="814">
        <f t="shared" si="2"/>
        <v>4933.53</v>
      </c>
      <c r="G72" s="179">
        <f t="shared" si="3"/>
        <v>740.02949999999998</v>
      </c>
    </row>
    <row r="73" spans="1:8">
      <c r="A73" s="407">
        <v>37</v>
      </c>
      <c r="B73" s="180">
        <f>+'Statens skalatrin'!N114</f>
        <v>326457.34000000003</v>
      </c>
      <c r="C73" s="593">
        <f t="shared" si="0"/>
        <v>27204.78</v>
      </c>
      <c r="D73" s="591">
        <f>ROUND(B73*(1+'Løntabel gældende fra'!$D$7/100),0)</f>
        <v>402553</v>
      </c>
      <c r="E73" s="823">
        <f t="shared" si="1"/>
        <v>33546.080000000002</v>
      </c>
      <c r="F73" s="814">
        <f t="shared" si="2"/>
        <v>5031.91</v>
      </c>
      <c r="G73" s="179">
        <f t="shared" si="3"/>
        <v>754.78649999999993</v>
      </c>
    </row>
    <row r="74" spans="1:8">
      <c r="A74" s="407">
        <v>38</v>
      </c>
      <c r="B74" s="180">
        <f>+'Statens skalatrin'!N117</f>
        <v>333128.88</v>
      </c>
      <c r="C74" s="593">
        <f t="shared" si="0"/>
        <v>27760.74</v>
      </c>
      <c r="D74" s="591">
        <f>ROUND(B74*(1+'Løntabel gældende fra'!$D$7/100),0)</f>
        <v>410780</v>
      </c>
      <c r="E74" s="823">
        <f t="shared" si="1"/>
        <v>34231.67</v>
      </c>
      <c r="F74" s="814">
        <f t="shared" si="2"/>
        <v>5134.75</v>
      </c>
      <c r="G74" s="179">
        <f t="shared" si="3"/>
        <v>770.21249999999998</v>
      </c>
    </row>
    <row r="75" spans="1:8">
      <c r="A75" s="407">
        <v>39</v>
      </c>
      <c r="B75" s="180">
        <f>+'Statens skalatrin'!N120</f>
        <v>339989.41</v>
      </c>
      <c r="C75" s="593">
        <f t="shared" si="0"/>
        <v>28332.45</v>
      </c>
      <c r="D75" s="591">
        <f>ROUND(B75*(1+'Løntabel gældende fra'!$D$7/100),0)</f>
        <v>419239</v>
      </c>
      <c r="E75" s="823">
        <f t="shared" si="1"/>
        <v>34936.58</v>
      </c>
      <c r="F75" s="814">
        <f t="shared" si="2"/>
        <v>5240.49</v>
      </c>
      <c r="G75" s="179">
        <f t="shared" si="3"/>
        <v>786.07349999999997</v>
      </c>
    </row>
    <row r="76" spans="1:8">
      <c r="A76" s="407">
        <v>40</v>
      </c>
      <c r="B76" s="180">
        <f>+'Statens skalatrin'!N123</f>
        <v>347027.46</v>
      </c>
      <c r="C76" s="593">
        <f t="shared" si="0"/>
        <v>28918.959999999999</v>
      </c>
      <c r="D76" s="591">
        <f>ROUND(B76*(1+'Løntabel gældende fra'!$D$7/100),0)</f>
        <v>427918</v>
      </c>
      <c r="E76" s="823">
        <f t="shared" si="1"/>
        <v>35659.83</v>
      </c>
      <c r="F76" s="814">
        <f t="shared" si="2"/>
        <v>5348.97</v>
      </c>
      <c r="G76" s="179">
        <f t="shared" si="3"/>
        <v>802.34550000000002</v>
      </c>
    </row>
    <row r="77" spans="1:8">
      <c r="A77" s="407">
        <v>41</v>
      </c>
      <c r="B77" s="180">
        <f>+'Statens skalatrin'!N126</f>
        <v>354249.23</v>
      </c>
      <c r="C77" s="593">
        <f t="shared" si="0"/>
        <v>29520.77</v>
      </c>
      <c r="D77" s="591">
        <f>ROUND(B77*(1+'Løntabel gældende fra'!$D$7/100),0)</f>
        <v>436823</v>
      </c>
      <c r="E77" s="823">
        <f t="shared" si="1"/>
        <v>36401.919999999998</v>
      </c>
      <c r="F77" s="814">
        <f t="shared" si="2"/>
        <v>5460.29</v>
      </c>
      <c r="G77" s="179">
        <f t="shared" si="3"/>
        <v>819.04349999999999</v>
      </c>
    </row>
    <row r="78" spans="1:8">
      <c r="A78" s="407">
        <v>42</v>
      </c>
      <c r="B78" s="180">
        <f>+'Statens skalatrin'!N129</f>
        <v>361659.2</v>
      </c>
      <c r="C78" s="593">
        <f t="shared" si="0"/>
        <v>30138.27</v>
      </c>
      <c r="D78" s="591">
        <f>ROUND(B78*(1+'Løntabel gældende fra'!$D$7/100),0)</f>
        <v>445960</v>
      </c>
      <c r="E78" s="823">
        <f t="shared" si="1"/>
        <v>37163.33</v>
      </c>
      <c r="F78" s="814">
        <f t="shared" si="2"/>
        <v>5574.5</v>
      </c>
      <c r="G78" s="179">
        <f t="shared" si="3"/>
        <v>836.17499999999995</v>
      </c>
    </row>
    <row r="79" spans="1:8">
      <c r="A79" s="407">
        <v>43</v>
      </c>
      <c r="B79" s="180">
        <f>+'Statens skalatrin'!N132</f>
        <v>369688.53</v>
      </c>
      <c r="C79" s="593">
        <f t="shared" si="0"/>
        <v>30807.38</v>
      </c>
      <c r="D79" s="591">
        <f>ROUND(B79*(1+'Løntabel gældende fra'!$D$7/100),0)</f>
        <v>455861</v>
      </c>
      <c r="E79" s="823">
        <f t="shared" si="1"/>
        <v>37988.42</v>
      </c>
      <c r="F79" s="814">
        <f t="shared" si="2"/>
        <v>5698.26</v>
      </c>
      <c r="G79" s="179">
        <f t="shared" si="3"/>
        <v>854.73900000000003</v>
      </c>
    </row>
    <row r="80" spans="1:8">
      <c r="A80" s="407">
        <v>44</v>
      </c>
      <c r="B80" s="180">
        <f>+'Statens skalatrin'!N135</f>
        <v>377937.3</v>
      </c>
      <c r="C80" s="593">
        <f t="shared" si="0"/>
        <v>31494.78</v>
      </c>
      <c r="D80" s="591">
        <f>ROUND(B80*(1+'Løntabel gældende fra'!$D$7/100),0)</f>
        <v>466033</v>
      </c>
      <c r="E80" s="823">
        <f t="shared" si="1"/>
        <v>38836.080000000002</v>
      </c>
      <c r="F80" s="814">
        <f t="shared" si="2"/>
        <v>5825.41</v>
      </c>
      <c r="G80" s="179">
        <f t="shared" si="3"/>
        <v>873.81149999999991</v>
      </c>
      <c r="H80" s="57"/>
    </row>
    <row r="81" spans="1:8" s="57" customFormat="1">
      <c r="A81" s="407">
        <v>45</v>
      </c>
      <c r="B81" s="180">
        <f>+'Statens skalatrin'!N138</f>
        <v>386414.29</v>
      </c>
      <c r="C81" s="593">
        <f t="shared" si="0"/>
        <v>32201.19</v>
      </c>
      <c r="D81" s="591">
        <f>ROUND(B81*(1+'Løntabel gældende fra'!$D$7/100),0)</f>
        <v>476486</v>
      </c>
      <c r="E81" s="823">
        <f t="shared" si="1"/>
        <v>39707.17</v>
      </c>
      <c r="F81" s="814">
        <f t="shared" si="2"/>
        <v>5956.08</v>
      </c>
      <c r="G81" s="179">
        <f t="shared" si="3"/>
        <v>893.41199999999992</v>
      </c>
    </row>
    <row r="82" spans="1:8" s="57" customFormat="1">
      <c r="A82" s="407">
        <v>46</v>
      </c>
      <c r="B82" s="180">
        <f>+'Statens skalatrin'!N141</f>
        <v>395124.74</v>
      </c>
      <c r="C82" s="593">
        <f t="shared" si="0"/>
        <v>32927.06</v>
      </c>
      <c r="D82" s="591">
        <f>ROUND(B82*(1+'Løntabel gældende fra'!$D$7/100),0)</f>
        <v>487226</v>
      </c>
      <c r="E82" s="823">
        <f t="shared" si="1"/>
        <v>40602.17</v>
      </c>
      <c r="F82" s="814">
        <f t="shared" si="2"/>
        <v>6090.33</v>
      </c>
      <c r="G82" s="179">
        <f t="shared" si="3"/>
        <v>913.54949999999997</v>
      </c>
    </row>
    <row r="83" spans="1:8" s="57" customFormat="1">
      <c r="A83" s="407">
        <v>47</v>
      </c>
      <c r="B83" s="180">
        <f>+'Statens skalatrin'!N144</f>
        <v>413268.87</v>
      </c>
      <c r="C83" s="593">
        <f t="shared" si="0"/>
        <v>34439.07</v>
      </c>
      <c r="D83" s="591">
        <f>ROUND(B83*(1+'Løntabel gældende fra'!$D$7/100),0)</f>
        <v>509600</v>
      </c>
      <c r="E83" s="823">
        <f t="shared" si="1"/>
        <v>42466.67</v>
      </c>
      <c r="F83" s="814">
        <f t="shared" si="2"/>
        <v>6370</v>
      </c>
      <c r="G83" s="179">
        <f t="shared" si="3"/>
        <v>955.5</v>
      </c>
      <c r="H83" s="2"/>
    </row>
    <row r="84" spans="1:8">
      <c r="A84" s="407">
        <v>48</v>
      </c>
      <c r="B84" s="180">
        <f>+'Statens skalatrin'!N147</f>
        <v>441025.75</v>
      </c>
      <c r="C84" s="593">
        <f t="shared" si="0"/>
        <v>36752.15</v>
      </c>
      <c r="D84" s="591">
        <f>ROUND(B84*(1+'Løntabel gældende fra'!$D$7/100),0)</f>
        <v>543827</v>
      </c>
      <c r="E84" s="823">
        <f t="shared" si="1"/>
        <v>45318.92</v>
      </c>
      <c r="F84" s="814">
        <f t="shared" si="2"/>
        <v>6797.84</v>
      </c>
      <c r="G84" s="179">
        <f t="shared" si="3"/>
        <v>1019.6759999999999</v>
      </c>
    </row>
    <row r="85" spans="1:8" ht="15" customHeight="1">
      <c r="A85" s="407">
        <v>49</v>
      </c>
      <c r="B85" s="180">
        <f>+'Statens skalatrin'!N150</f>
        <v>471780.9</v>
      </c>
      <c r="C85" s="593">
        <f t="shared" si="0"/>
        <v>39315.08</v>
      </c>
      <c r="D85" s="591">
        <f>ROUND(B85*(1+'Løntabel gældende fra'!$D$7/100),0)</f>
        <v>581751</v>
      </c>
      <c r="E85" s="823">
        <f t="shared" si="1"/>
        <v>48479.25</v>
      </c>
      <c r="F85" s="814">
        <f t="shared" si="2"/>
        <v>7271.89</v>
      </c>
      <c r="G85" s="179">
        <f t="shared" si="3"/>
        <v>1090.7835</v>
      </c>
    </row>
    <row r="86" spans="1:8" ht="16" customHeight="1" thickBot="1">
      <c r="A86" s="348">
        <v>50</v>
      </c>
      <c r="B86" s="161">
        <f>+'Statens skalatrin'!N153</f>
        <v>521094.47</v>
      </c>
      <c r="C86" s="594">
        <f t="shared" si="0"/>
        <v>43424.54</v>
      </c>
      <c r="D86" s="592">
        <f>ROUND(B86*(1+'Løntabel gældende fra'!$D$7/100),0)</f>
        <v>642559</v>
      </c>
      <c r="E86" s="824">
        <f t="shared" si="1"/>
        <v>53546.58</v>
      </c>
      <c r="F86" s="815">
        <f t="shared" si="2"/>
        <v>8031.99</v>
      </c>
      <c r="G86" s="343">
        <f t="shared" si="3"/>
        <v>1204.7984999999999</v>
      </c>
      <c r="H86" s="57"/>
    </row>
    <row r="87" spans="1:8" s="57" customFormat="1" ht="57" customHeight="1">
      <c r="A87" s="1344" t="s">
        <v>227</v>
      </c>
      <c r="B87" s="1344"/>
      <c r="C87" s="1344"/>
      <c r="D87" s="1344"/>
      <c r="E87" s="1344"/>
      <c r="F87" s="1344"/>
      <c r="G87" s="1344"/>
    </row>
    <row r="88" spans="1:8" s="57" customFormat="1" ht="15" customHeight="1">
      <c r="A88" s="56"/>
      <c r="B88" s="56"/>
      <c r="C88" s="56"/>
      <c r="D88" s="56"/>
      <c r="E88" s="56"/>
      <c r="F88" s="56"/>
      <c r="G88" s="56"/>
      <c r="H88" s="2"/>
    </row>
    <row r="89" spans="1:8">
      <c r="A89" s="1280"/>
      <c r="B89" s="1280"/>
      <c r="C89" s="1280"/>
      <c r="D89" s="1280"/>
      <c r="E89" s="1280"/>
      <c r="F89" s="1280"/>
      <c r="G89" s="1280"/>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sheetData>
  <mergeCells count="6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 ref="B45:G45"/>
    <mergeCell ref="B44:D44"/>
    <mergeCell ref="A37:B37"/>
    <mergeCell ref="A38:B38"/>
    <mergeCell ref="C37:D37"/>
    <mergeCell ref="C38:D38"/>
    <mergeCell ref="A41:G41"/>
    <mergeCell ref="A42:A44"/>
    <mergeCell ref="B42:D43"/>
    <mergeCell ref="E37:F37"/>
    <mergeCell ref="E38:F38"/>
    <mergeCell ref="A39:E39"/>
    <mergeCell ref="A4:F5"/>
    <mergeCell ref="C8:D8"/>
    <mergeCell ref="E8:F8"/>
    <mergeCell ref="C36:D36"/>
    <mergeCell ref="A13:B13"/>
    <mergeCell ref="A36:B36"/>
    <mergeCell ref="A10:B10"/>
    <mergeCell ref="C35:D35"/>
    <mergeCell ref="A12:B12"/>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5" max="6"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tabSelected="1" zoomScale="130" zoomScaleNormal="130" workbookViewId="0">
      <selection activeCell="A66" sqref="A66:G66"/>
    </sheetView>
  </sheetViews>
  <sheetFormatPr defaultColWidth="8.81640625" defaultRowHeight="14"/>
  <cols>
    <col min="1" max="1" width="10.453125" style="2" customWidth="1"/>
    <col min="2" max="2" width="12.81640625" style="2" customWidth="1"/>
    <col min="3" max="3" width="12.6328125" style="2" customWidth="1"/>
    <col min="4" max="4" width="13.08984375" style="2" customWidth="1"/>
    <col min="5" max="5" width="13.36328125" style="2" customWidth="1"/>
    <col min="6" max="6" width="11.453125" style="2" customWidth="1"/>
    <col min="7" max="7" width="13.453125" style="2" customWidth="1"/>
    <col min="8" max="16384" width="8.81640625" style="2"/>
  </cols>
  <sheetData>
    <row r="1" spans="1:9" ht="45" customHeight="1" thickBot="1">
      <c r="A1" s="1393" t="s">
        <v>556</v>
      </c>
      <c r="B1" s="1394"/>
      <c r="C1" s="1394"/>
      <c r="D1" s="1394"/>
      <c r="E1" s="1394"/>
      <c r="F1" s="1394"/>
      <c r="G1" s="1395"/>
      <c r="H1" s="634"/>
      <c r="I1" s="634"/>
    </row>
    <row r="2" spans="1:9" ht="19.5" customHeight="1" thickBot="1">
      <c r="A2" s="1217" t="str">
        <f>'Forside 1'!A6:I6</f>
        <v>Gældende fra 1. april 2025</v>
      </c>
      <c r="B2" s="1218"/>
      <c r="C2" s="1218"/>
      <c r="D2" s="1218"/>
      <c r="E2" s="1218"/>
      <c r="F2" s="1218"/>
      <c r="G2" s="1219"/>
    </row>
    <row r="3" spans="1:9" ht="11.25" customHeight="1" thickBot="1">
      <c r="A3" s="617"/>
      <c r="B3" s="617"/>
      <c r="C3" s="617"/>
      <c r="D3" s="617"/>
    </row>
    <row r="4" spans="1:9" s="618" customFormat="1" ht="21.75" customHeight="1" thickBot="1">
      <c r="A4" s="1562" t="s">
        <v>347</v>
      </c>
      <c r="B4" s="1563"/>
      <c r="C4" s="1563"/>
      <c r="D4" s="1563"/>
      <c r="E4" s="1563"/>
      <c r="F4" s="1563"/>
      <c r="G4" s="1564"/>
      <c r="H4" s="601"/>
    </row>
    <row r="5" spans="1:9" ht="8.25" customHeight="1" thickBot="1">
      <c r="A5" s="1565"/>
      <c r="B5" s="1565"/>
      <c r="C5" s="1565"/>
      <c r="D5" s="1565"/>
      <c r="E5" s="1565"/>
      <c r="F5" s="1565"/>
      <c r="G5" s="1565"/>
      <c r="H5" s="57"/>
    </row>
    <row r="6" spans="1:9" ht="16.5" customHeight="1">
      <c r="A6" s="1396" t="s">
        <v>238</v>
      </c>
      <c r="B6" s="1397"/>
      <c r="C6" s="1397"/>
      <c r="D6" s="1397"/>
      <c r="E6" s="1397"/>
      <c r="F6" s="1397"/>
      <c r="G6" s="1398"/>
      <c r="H6" s="205"/>
    </row>
    <row r="7" spans="1:9" ht="18.75" customHeight="1" thickBot="1">
      <c r="A7" s="1399" t="s">
        <v>474</v>
      </c>
      <c r="B7" s="1400"/>
      <c r="C7" s="1400"/>
      <c r="D7" s="1400"/>
      <c r="E7" s="1400"/>
      <c r="F7" s="1400"/>
      <c r="G7" s="1401"/>
      <c r="H7" s="635"/>
    </row>
    <row r="8" spans="1:9" ht="15" customHeight="1">
      <c r="A8" s="1416" t="s">
        <v>346</v>
      </c>
      <c r="B8" s="1367"/>
      <c r="C8" s="1391" t="s">
        <v>131</v>
      </c>
      <c r="D8" s="1366" t="s">
        <v>310</v>
      </c>
      <c r="E8" s="1366" t="s">
        <v>257</v>
      </c>
      <c r="F8" s="1356" t="s">
        <v>451</v>
      </c>
      <c r="G8" s="1357"/>
      <c r="H8" s="57"/>
    </row>
    <row r="9" spans="1:9" ht="28" customHeight="1">
      <c r="A9" s="1417"/>
      <c r="B9" s="1369"/>
      <c r="C9" s="1392"/>
      <c r="D9" s="1368"/>
      <c r="E9" s="1368"/>
      <c r="F9" s="1358"/>
      <c r="G9" s="1359"/>
    </row>
    <row r="10" spans="1:9" ht="14.5" thickBot="1">
      <c r="A10" s="1506"/>
      <c r="B10" s="1507"/>
      <c r="C10" s="908">
        <v>40999</v>
      </c>
      <c r="D10" s="909" t="str">
        <f>'Løntabel gældende fra'!$D$1</f>
        <v>01-04-2025</v>
      </c>
      <c r="E10" s="909" t="str">
        <f>'Løntabel gældende fra'!$D$1</f>
        <v>01-04-2025</v>
      </c>
      <c r="F10" s="1362" t="s">
        <v>549</v>
      </c>
      <c r="G10" s="1363"/>
    </row>
    <row r="11" spans="1:9">
      <c r="A11" s="1314">
        <v>1</v>
      </c>
      <c r="B11" s="1315"/>
      <c r="C11" s="825">
        <v>285240</v>
      </c>
      <c r="D11" s="826">
        <f>ROUND(C11*(1+'Løntabel gældende fra'!$D$7/100),2)</f>
        <v>351728.02</v>
      </c>
      <c r="E11" s="826">
        <f>ROUND(D11/12,2)</f>
        <v>29310.67</v>
      </c>
      <c r="F11" s="1383">
        <f>ROUND(E11*0.1807,2)</f>
        <v>5296.44</v>
      </c>
      <c r="G11" s="1055"/>
    </row>
    <row r="12" spans="1:9">
      <c r="A12" s="1316">
        <v>2</v>
      </c>
      <c r="B12" s="1317"/>
      <c r="C12" s="827">
        <v>285240</v>
      </c>
      <c r="D12" s="636">
        <f>ROUND(C12*(1+'Løntabel gældende fra'!$D$7/100),2)</f>
        <v>351728.02</v>
      </c>
      <c r="E12" s="636">
        <f t="shared" ref="E12:E15" si="0">ROUND(D12/12,2)</f>
        <v>29310.67</v>
      </c>
      <c r="F12" s="1384">
        <f t="shared" ref="F12:F15" si="1">ROUND(E12*0.1807,2)</f>
        <v>5296.44</v>
      </c>
      <c r="G12" s="1063"/>
    </row>
    <row r="13" spans="1:9">
      <c r="A13" s="1316">
        <v>3</v>
      </c>
      <c r="B13" s="1317"/>
      <c r="C13" s="827">
        <v>307417</v>
      </c>
      <c r="D13" s="636">
        <f>ROUND(C13*(1+'Løntabel gældende fra'!$D$7/100),2)</f>
        <v>379074.37</v>
      </c>
      <c r="E13" s="636">
        <f t="shared" si="0"/>
        <v>31589.53</v>
      </c>
      <c r="F13" s="1384">
        <f t="shared" si="1"/>
        <v>5708.23</v>
      </c>
      <c r="G13" s="1063"/>
    </row>
    <row r="14" spans="1:9">
      <c r="A14" s="1316">
        <v>4</v>
      </c>
      <c r="B14" s="1317"/>
      <c r="C14" s="827">
        <v>327643</v>
      </c>
      <c r="D14" s="636">
        <f>ROUND(C14*(1+'Løntabel gældende fra'!$D$7/100),2)</f>
        <v>404014.95</v>
      </c>
      <c r="E14" s="636">
        <f t="shared" si="0"/>
        <v>33667.910000000003</v>
      </c>
      <c r="F14" s="1384">
        <f t="shared" si="1"/>
        <v>6083.79</v>
      </c>
      <c r="G14" s="1063"/>
    </row>
    <row r="15" spans="1:9" ht="14.5" thickBot="1">
      <c r="A15" s="1310">
        <v>5</v>
      </c>
      <c r="B15" s="1311"/>
      <c r="C15" s="828">
        <v>347571</v>
      </c>
      <c r="D15" s="829">
        <f>ROUND(C15*(1+'Løntabel gældende fra'!$D$7/100),2)</f>
        <v>428588.06</v>
      </c>
      <c r="E15" s="829">
        <f t="shared" si="0"/>
        <v>35715.67</v>
      </c>
      <c r="F15" s="1385">
        <f t="shared" si="1"/>
        <v>6453.82</v>
      </c>
      <c r="G15" s="1154"/>
    </row>
    <row r="16" spans="1:9">
      <c r="A16" s="1508" t="s">
        <v>373</v>
      </c>
      <c r="B16" s="1508"/>
      <c r="C16" s="1508"/>
      <c r="D16" s="1508"/>
      <c r="E16" s="1508"/>
      <c r="F16" s="1508"/>
      <c r="G16" s="1508"/>
      <c r="H16" s="1508"/>
    </row>
    <row r="17" spans="1:9" ht="14.5" thickBot="1">
      <c r="I17" s="616"/>
    </row>
    <row r="18" spans="1:9" ht="14.5" thickBot="1">
      <c r="A18" s="1510" t="s">
        <v>383</v>
      </c>
      <c r="B18" s="1511"/>
      <c r="C18" s="1512"/>
      <c r="D18" s="1510" t="s">
        <v>363</v>
      </c>
      <c r="E18" s="1511"/>
      <c r="F18" s="1512"/>
      <c r="G18" s="597"/>
    </row>
    <row r="19" spans="1:9" ht="14.5" thickBot="1">
      <c r="A19" s="672" t="s">
        <v>364</v>
      </c>
      <c r="B19" s="1503" t="s">
        <v>96</v>
      </c>
      <c r="C19" s="1504"/>
      <c r="D19" s="672" t="s">
        <v>364</v>
      </c>
      <c r="E19" s="1503" t="s">
        <v>96</v>
      </c>
      <c r="F19" s="1505"/>
      <c r="G19" s="597"/>
    </row>
    <row r="20" spans="1:9" ht="15.75" customHeight="1">
      <c r="A20" s="673">
        <v>2</v>
      </c>
      <c r="B20" s="1502" t="s">
        <v>365</v>
      </c>
      <c r="C20" s="1509"/>
      <c r="D20" s="673">
        <v>1</v>
      </c>
      <c r="E20" s="1502" t="s">
        <v>368</v>
      </c>
      <c r="F20" s="1353"/>
      <c r="G20" s="597"/>
    </row>
    <row r="21" spans="1:9">
      <c r="A21" s="674">
        <v>4</v>
      </c>
      <c r="B21" s="1470" t="s">
        <v>366</v>
      </c>
      <c r="C21" s="1501"/>
      <c r="D21" s="674">
        <v>3</v>
      </c>
      <c r="E21" s="1470" t="s">
        <v>369</v>
      </c>
      <c r="F21" s="1471"/>
      <c r="G21" s="597"/>
    </row>
    <row r="22" spans="1:9" ht="14.5" thickBot="1">
      <c r="A22" s="675">
        <v>5</v>
      </c>
      <c r="B22" s="1423" t="s">
        <v>367</v>
      </c>
      <c r="C22" s="1472"/>
      <c r="D22" s="675">
        <v>5</v>
      </c>
      <c r="E22" s="1423" t="s">
        <v>370</v>
      </c>
      <c r="F22" s="1424"/>
      <c r="G22" s="597"/>
    </row>
    <row r="23" spans="1:9" ht="14" customHeight="1" thickBot="1">
      <c r="A23" s="614"/>
      <c r="B23" s="614"/>
      <c r="C23" s="597"/>
      <c r="D23" s="597"/>
      <c r="E23" s="615"/>
      <c r="F23" s="597"/>
      <c r="G23" s="597"/>
    </row>
    <row r="24" spans="1:9" ht="22.5" customHeight="1">
      <c r="A24" s="1396" t="s">
        <v>345</v>
      </c>
      <c r="B24" s="1397"/>
      <c r="C24" s="1397"/>
      <c r="D24" s="1397"/>
      <c r="E24" s="1397"/>
      <c r="F24" s="1397"/>
      <c r="G24" s="1398"/>
    </row>
    <row r="25" spans="1:9" ht="20.25" customHeight="1" thickBot="1">
      <c r="A25" s="1399" t="s">
        <v>474</v>
      </c>
      <c r="B25" s="1400"/>
      <c r="C25" s="1400"/>
      <c r="D25" s="1400"/>
      <c r="E25" s="1400"/>
      <c r="F25" s="1400"/>
      <c r="G25" s="1401"/>
    </row>
    <row r="26" spans="1:9" ht="15.75" customHeight="1">
      <c r="A26" s="1416" t="s">
        <v>94</v>
      </c>
      <c r="B26" s="1367"/>
      <c r="C26" s="1391" t="s">
        <v>131</v>
      </c>
      <c r="D26" s="1366" t="s">
        <v>310</v>
      </c>
      <c r="E26" s="1366" t="s">
        <v>257</v>
      </c>
      <c r="F26" s="1356" t="str">
        <f>F8</f>
        <v>Pensionsbidrag til AkedemikerPension</v>
      </c>
      <c r="G26" s="1357"/>
    </row>
    <row r="27" spans="1:9" ht="15" customHeight="1">
      <c r="A27" s="1417"/>
      <c r="B27" s="1369"/>
      <c r="C27" s="1392"/>
      <c r="D27" s="1368"/>
      <c r="E27" s="1368"/>
      <c r="F27" s="1358"/>
      <c r="G27" s="1359"/>
    </row>
    <row r="28" spans="1:9" ht="14.5" thickBot="1">
      <c r="A28" s="1354"/>
      <c r="B28" s="1355"/>
      <c r="C28" s="669">
        <v>40999</v>
      </c>
      <c r="D28" s="637" t="str">
        <f>'Løntabel gældende fra'!$D$1</f>
        <v>01-04-2025</v>
      </c>
      <c r="E28" s="637" t="str">
        <f>'Løntabel gældende fra'!$D$1</f>
        <v>01-04-2025</v>
      </c>
      <c r="F28" s="1360">
        <v>0.1807</v>
      </c>
      <c r="G28" s="1361"/>
    </row>
    <row r="29" spans="1:9">
      <c r="A29" s="1425" t="s">
        <v>344</v>
      </c>
      <c r="B29" s="1426"/>
      <c r="C29" s="830">
        <v>38000</v>
      </c>
      <c r="D29" s="831">
        <f>ROUND(C29*(1+'Løntabel gældende fra'!$D$7/100),2)</f>
        <v>46857.61</v>
      </c>
      <c r="E29" s="831">
        <f>ROUND(D29/12,2)</f>
        <v>3904.8</v>
      </c>
      <c r="F29" s="1403">
        <f>ROUND(E29*0.1807,2)</f>
        <v>705.6</v>
      </c>
      <c r="G29" s="1404"/>
    </row>
    <row r="30" spans="1:9" ht="14.25" customHeight="1">
      <c r="A30" s="1316" t="s">
        <v>343</v>
      </c>
      <c r="B30" s="1317"/>
      <c r="C30" s="832">
        <v>38000</v>
      </c>
      <c r="D30" s="639">
        <f>ROUND(C30*(1+'Løntabel gældende fra'!$D$7/100),2)</f>
        <v>46857.61</v>
      </c>
      <c r="E30" s="639">
        <f t="shared" ref="E30:E35" si="2">ROUND(D30/12,2)</f>
        <v>3904.8</v>
      </c>
      <c r="F30" s="1405">
        <f t="shared" ref="F30:F35" si="3">ROUND(E30*0.1807,2)</f>
        <v>705.6</v>
      </c>
      <c r="G30" s="1406"/>
    </row>
    <row r="31" spans="1:9">
      <c r="A31" s="1316" t="s">
        <v>342</v>
      </c>
      <c r="B31" s="1317"/>
      <c r="C31" s="832">
        <v>50000</v>
      </c>
      <c r="D31" s="639">
        <f>ROUND(C31*(1+'Løntabel gældende fra'!$D$7/100),2)</f>
        <v>61654.75</v>
      </c>
      <c r="E31" s="639">
        <f t="shared" si="2"/>
        <v>5137.8999999999996</v>
      </c>
      <c r="F31" s="1405">
        <f t="shared" si="3"/>
        <v>928.42</v>
      </c>
      <c r="G31" s="1406"/>
    </row>
    <row r="32" spans="1:9">
      <c r="A32" s="1316" t="s">
        <v>341</v>
      </c>
      <c r="B32" s="1317"/>
      <c r="C32" s="832">
        <v>50000</v>
      </c>
      <c r="D32" s="639">
        <f>ROUND(C32*(1+'Løntabel gældende fra'!$D$7/100),2)</f>
        <v>61654.75</v>
      </c>
      <c r="E32" s="639">
        <f t="shared" si="2"/>
        <v>5137.8999999999996</v>
      </c>
      <c r="F32" s="1405">
        <f t="shared" si="3"/>
        <v>928.42</v>
      </c>
      <c r="G32" s="1406"/>
    </row>
    <row r="33" spans="1:9" ht="15" customHeight="1">
      <c r="A33" s="1292" t="s">
        <v>340</v>
      </c>
      <c r="B33" s="1293"/>
      <c r="C33" s="832">
        <v>50000</v>
      </c>
      <c r="D33" s="639">
        <f>ROUND(C33*(1+'Løntabel gældende fra'!$D$7/100),2)</f>
        <v>61654.75</v>
      </c>
      <c r="E33" s="639">
        <f t="shared" si="2"/>
        <v>5137.8999999999996</v>
      </c>
      <c r="F33" s="1405">
        <f t="shared" si="3"/>
        <v>928.42</v>
      </c>
      <c r="G33" s="1406"/>
    </row>
    <row r="34" spans="1:9" ht="15.75" customHeight="1">
      <c r="A34" s="1316" t="s">
        <v>362</v>
      </c>
      <c r="B34" s="1317"/>
      <c r="C34" s="832">
        <v>50000</v>
      </c>
      <c r="D34" s="639">
        <f>ROUND(C34*(1+'Løntabel gældende fra'!$D$7/100),2)</f>
        <v>61654.75</v>
      </c>
      <c r="E34" s="639">
        <f t="shared" si="2"/>
        <v>5137.8999999999996</v>
      </c>
      <c r="F34" s="1405">
        <f t="shared" si="3"/>
        <v>928.42</v>
      </c>
      <c r="G34" s="1406"/>
    </row>
    <row r="35" spans="1:9" ht="15.75" customHeight="1" thickBot="1">
      <c r="A35" s="1418" t="s">
        <v>339</v>
      </c>
      <c r="B35" s="1365"/>
      <c r="C35" s="833">
        <v>72500</v>
      </c>
      <c r="D35" s="834">
        <f>ROUND(C35*(1+'Løntabel gældende fra'!$D$7/100),2)</f>
        <v>89399.39</v>
      </c>
      <c r="E35" s="834">
        <f t="shared" si="2"/>
        <v>7449.95</v>
      </c>
      <c r="F35" s="1407">
        <f t="shared" si="3"/>
        <v>1346.21</v>
      </c>
      <c r="G35" s="1408"/>
    </row>
    <row r="36" spans="1:9" ht="15.75" customHeight="1" thickBot="1">
      <c r="A36" s="613"/>
      <c r="B36" s="613"/>
      <c r="C36" s="613"/>
      <c r="D36" s="613"/>
      <c r="E36" s="613"/>
      <c r="F36" s="613"/>
      <c r="G36" s="613"/>
    </row>
    <row r="37" spans="1:9" ht="17.25" customHeight="1">
      <c r="A37" s="1231" t="s">
        <v>338</v>
      </c>
      <c r="B37" s="1232"/>
      <c r="C37" s="1232"/>
      <c r="D37" s="1232"/>
      <c r="E37" s="1232"/>
      <c r="F37" s="1232"/>
      <c r="G37" s="1233"/>
    </row>
    <row r="38" spans="1:9" ht="17.25" customHeight="1" thickBot="1">
      <c r="A38" s="1242" t="s">
        <v>473</v>
      </c>
      <c r="B38" s="1243"/>
      <c r="C38" s="1243"/>
      <c r="D38" s="1243"/>
      <c r="E38" s="1243"/>
      <c r="F38" s="1243"/>
      <c r="G38" s="1244"/>
    </row>
    <row r="39" spans="1:9" ht="28" customHeight="1">
      <c r="A39" s="1416" t="s">
        <v>361</v>
      </c>
      <c r="B39" s="1366"/>
      <c r="C39" s="1367" t="s">
        <v>337</v>
      </c>
      <c r="D39" s="1391" t="s">
        <v>131</v>
      </c>
      <c r="E39" s="1366" t="s">
        <v>310</v>
      </c>
      <c r="F39" s="1386" t="s">
        <v>257</v>
      </c>
      <c r="G39" s="1414" t="s">
        <v>452</v>
      </c>
    </row>
    <row r="40" spans="1:9" ht="17.25" customHeight="1">
      <c r="A40" s="1417"/>
      <c r="B40" s="1368"/>
      <c r="C40" s="1369"/>
      <c r="D40" s="1392"/>
      <c r="E40" s="1368"/>
      <c r="F40" s="1387"/>
      <c r="G40" s="1415"/>
    </row>
    <row r="41" spans="1:9" ht="14" customHeight="1" thickBot="1">
      <c r="A41" s="1418"/>
      <c r="B41" s="1364"/>
      <c r="C41" s="1365"/>
      <c r="D41" s="668">
        <v>40999</v>
      </c>
      <c r="E41" s="641" t="str">
        <f>'Løntabel gældende fra'!$D$1</f>
        <v>01-04-2025</v>
      </c>
      <c r="F41" s="641" t="str">
        <f>E41</f>
        <v>01-04-2025</v>
      </c>
      <c r="G41" s="642">
        <v>0.1807</v>
      </c>
      <c r="H41" s="597"/>
    </row>
    <row r="42" spans="1:9" ht="14" customHeight="1">
      <c r="A42" s="1473" t="s">
        <v>336</v>
      </c>
      <c r="B42" s="1474"/>
      <c r="C42" s="644" t="s">
        <v>335</v>
      </c>
      <c r="D42" s="643">
        <v>4300</v>
      </c>
      <c r="E42" s="639">
        <f>ROUND(D42*(1+'Løntabel gældende fra'!$D$7/100),2)</f>
        <v>5302.31</v>
      </c>
      <c r="F42" s="639">
        <f>ROUND(E42/12,2)</f>
        <v>441.86</v>
      </c>
      <c r="G42" s="640">
        <f>ROUND(F42*0.1807,2)</f>
        <v>79.84</v>
      </c>
    </row>
    <row r="43" spans="1:9" ht="14.5" customHeight="1">
      <c r="A43" s="1110" t="s">
        <v>332</v>
      </c>
      <c r="B43" s="1434"/>
      <c r="C43" s="645" t="s">
        <v>334</v>
      </c>
      <c r="D43" s="638">
        <v>6900</v>
      </c>
      <c r="E43" s="639">
        <f>ROUND(D43*(1+'Løntabel gældende fra'!$D$7/100),2)</f>
        <v>8508.36</v>
      </c>
      <c r="F43" s="639">
        <f t="shared" ref="F43:F47" si="4">ROUND(E43/12,2)</f>
        <v>709.03</v>
      </c>
      <c r="G43" s="640">
        <f t="shared" ref="G43:G47" si="5">ROUND(F43*0.1807,2)</f>
        <v>128.12</v>
      </c>
    </row>
    <row r="44" spans="1:9" ht="14" customHeight="1">
      <c r="A44" s="1110" t="s">
        <v>332</v>
      </c>
      <c r="B44" s="1434"/>
      <c r="C44" s="645" t="s">
        <v>333</v>
      </c>
      <c r="D44" s="611">
        <v>12600</v>
      </c>
      <c r="E44" s="639">
        <f>ROUND(D44*(1+'Løntabel gældende fra'!$D$7/100),2)</f>
        <v>15537</v>
      </c>
      <c r="F44" s="639">
        <f t="shared" si="4"/>
        <v>1294.75</v>
      </c>
      <c r="G44" s="640">
        <f t="shared" si="5"/>
        <v>233.96</v>
      </c>
    </row>
    <row r="45" spans="1:9" ht="15.75" customHeight="1">
      <c r="A45" s="1110" t="s">
        <v>332</v>
      </c>
      <c r="B45" s="1434"/>
      <c r="C45" s="645" t="s">
        <v>331</v>
      </c>
      <c r="D45" s="611">
        <v>19500</v>
      </c>
      <c r="E45" s="639">
        <f>ROUND(D45*(1+'Løntabel gældende fra'!$D$7/100),2)</f>
        <v>24045.35</v>
      </c>
      <c r="F45" s="639">
        <f t="shared" si="4"/>
        <v>2003.78</v>
      </c>
      <c r="G45" s="640">
        <f t="shared" si="5"/>
        <v>362.08</v>
      </c>
    </row>
    <row r="46" spans="1:9" ht="32.25" customHeight="1">
      <c r="A46" s="1110" t="s">
        <v>329</v>
      </c>
      <c r="B46" s="1434"/>
      <c r="C46" s="646" t="s">
        <v>330</v>
      </c>
      <c r="D46" s="638">
        <v>19500</v>
      </c>
      <c r="E46" s="639">
        <f>ROUND(D46*(1+'Løntabel gældende fra'!$D$7/100),2)</f>
        <v>24045.35</v>
      </c>
      <c r="F46" s="639">
        <f t="shared" si="4"/>
        <v>2003.78</v>
      </c>
      <c r="G46" s="640">
        <f t="shared" si="5"/>
        <v>362.08</v>
      </c>
    </row>
    <row r="47" spans="1:9" ht="29.25" customHeight="1" thickBot="1">
      <c r="A47" s="1494" t="s">
        <v>329</v>
      </c>
      <c r="B47" s="1495"/>
      <c r="C47" s="647" t="s">
        <v>372</v>
      </c>
      <c r="D47" s="612">
        <v>39000</v>
      </c>
      <c r="E47" s="639">
        <f>ROUND(D47*(1+'Løntabel gældende fra'!$D$7/100),2)</f>
        <v>48090.71</v>
      </c>
      <c r="F47" s="639">
        <f t="shared" si="4"/>
        <v>4007.56</v>
      </c>
      <c r="G47" s="640">
        <f t="shared" si="5"/>
        <v>724.17</v>
      </c>
    </row>
    <row r="48" spans="1:9" ht="14" customHeight="1" thickBot="1">
      <c r="A48" s="600"/>
      <c r="B48" s="600"/>
      <c r="C48" s="600"/>
      <c r="D48" s="600"/>
      <c r="E48" s="600"/>
      <c r="F48" s="600"/>
      <c r="G48" s="600"/>
      <c r="H48" s="597"/>
      <c r="I48" s="597"/>
    </row>
    <row r="49" spans="1:10" ht="16.5" customHeight="1">
      <c r="A49" s="1231" t="s">
        <v>328</v>
      </c>
      <c r="B49" s="1232"/>
      <c r="C49" s="1232"/>
      <c r="D49" s="1232"/>
      <c r="E49" s="1232"/>
      <c r="F49" s="1232"/>
      <c r="G49" s="1233"/>
    </row>
    <row r="50" spans="1:10" ht="16" customHeight="1" thickBot="1">
      <c r="A50" s="1427" t="s">
        <v>349</v>
      </c>
      <c r="B50" s="1428"/>
      <c r="C50" s="1428"/>
      <c r="D50" s="1428"/>
      <c r="E50" s="1428"/>
      <c r="F50" s="1428"/>
      <c r="G50" s="1429"/>
    </row>
    <row r="51" spans="1:10" ht="16.5" customHeight="1">
      <c r="A51" s="1430" t="s">
        <v>131</v>
      </c>
      <c r="B51" s="1431"/>
      <c r="C51" s="1356" t="s">
        <v>310</v>
      </c>
      <c r="D51" s="1431"/>
      <c r="E51" s="1366" t="str">
        <f>F8</f>
        <v>Pensionsbidrag til AkedemikerPension</v>
      </c>
      <c r="F51" s="1366"/>
      <c r="G51" s="1367"/>
    </row>
    <row r="52" spans="1:10" ht="15" customHeight="1">
      <c r="A52" s="1432"/>
      <c r="B52" s="1433"/>
      <c r="C52" s="1358"/>
      <c r="D52" s="1433"/>
      <c r="E52" s="1368"/>
      <c r="F52" s="1368"/>
      <c r="G52" s="1369"/>
    </row>
    <row r="53" spans="1:10" ht="14.5" thickBot="1">
      <c r="A53" s="1419">
        <v>40999</v>
      </c>
      <c r="B53" s="1420"/>
      <c r="C53" s="1421" t="str">
        <f>'Løntabel gældende fra'!$D$1</f>
        <v>01-04-2025</v>
      </c>
      <c r="D53" s="1422"/>
      <c r="E53" s="1364" t="s">
        <v>549</v>
      </c>
      <c r="F53" s="1364"/>
      <c r="G53" s="1365"/>
    </row>
    <row r="54" spans="1:10" ht="21.75" customHeight="1" thickBot="1">
      <c r="A54" s="1388">
        <v>21900</v>
      </c>
      <c r="B54" s="1389"/>
      <c r="C54" s="1390">
        <f>ROUND(A54*(1+'Løntabel gældende fra'!$D$7/100),2)</f>
        <v>27004.78</v>
      </c>
      <c r="D54" s="1389"/>
      <c r="E54" s="1409">
        <f>ROUND(C54*0.1807,2)</f>
        <v>4879.76</v>
      </c>
      <c r="F54" s="1409"/>
      <c r="G54" s="1410"/>
    </row>
    <row r="55" spans="1:10" ht="16.5" customHeight="1">
      <c r="A55" s="7" t="s">
        <v>327</v>
      </c>
      <c r="B55" s="599"/>
      <c r="C55" s="599"/>
      <c r="D55" s="599"/>
      <c r="E55" s="599"/>
      <c r="F55" s="599"/>
      <c r="G55" s="599"/>
    </row>
    <row r="56" spans="1:10" ht="21" customHeight="1" thickBot="1">
      <c r="A56" s="14"/>
      <c r="B56" s="14"/>
      <c r="C56" s="14"/>
      <c r="D56" s="14"/>
      <c r="E56" s="14"/>
      <c r="F56" s="14"/>
      <c r="G56" s="14"/>
    </row>
    <row r="57" spans="1:10" ht="19.5" customHeight="1">
      <c r="A57" s="1539" t="s">
        <v>326</v>
      </c>
      <c r="B57" s="1540"/>
      <c r="C57" s="1540"/>
      <c r="D57" s="1540"/>
      <c r="E57" s="1540"/>
      <c r="F57" s="1540"/>
      <c r="G57" s="1541"/>
    </row>
    <row r="58" spans="1:10" ht="20.25" customHeight="1" thickBot="1">
      <c r="A58" s="1427" t="s">
        <v>350</v>
      </c>
      <c r="B58" s="1428"/>
      <c r="C58" s="1428"/>
      <c r="D58" s="1428"/>
      <c r="E58" s="1428"/>
      <c r="F58" s="1428"/>
      <c r="G58" s="1429"/>
    </row>
    <row r="59" spans="1:10" ht="12.75" customHeight="1">
      <c r="A59" s="1542" t="s">
        <v>131</v>
      </c>
      <c r="B59" s="1543"/>
      <c r="C59" s="1543"/>
      <c r="D59" s="1544"/>
      <c r="E59" s="1552" t="s">
        <v>310</v>
      </c>
      <c r="F59" s="1553"/>
      <c r="G59" s="1554"/>
    </row>
    <row r="60" spans="1:10" ht="11.25" customHeight="1">
      <c r="A60" s="1545"/>
      <c r="B60" s="1546"/>
      <c r="C60" s="1546"/>
      <c r="D60" s="1547"/>
      <c r="E60" s="1555"/>
      <c r="F60" s="1556"/>
      <c r="G60" s="1557"/>
    </row>
    <row r="61" spans="1:10" ht="12.75" customHeight="1" thickBot="1">
      <c r="A61" s="1548">
        <v>40999</v>
      </c>
      <c r="B61" s="1549"/>
      <c r="C61" s="1549"/>
      <c r="D61" s="1550"/>
      <c r="E61" s="1558" t="str">
        <f>'Løntabel gældende fra'!$D$1</f>
        <v>01-04-2025</v>
      </c>
      <c r="F61" s="1559"/>
      <c r="G61" s="1560"/>
      <c r="J61" s="598"/>
    </row>
    <row r="62" spans="1:10" ht="17.25" customHeight="1" thickBot="1">
      <c r="A62" s="1388">
        <v>8800</v>
      </c>
      <c r="B62" s="1551"/>
      <c r="C62" s="1551"/>
      <c r="D62" s="1389"/>
      <c r="E62" s="1390">
        <f>ROUND(A62*(1+'Løntabel gældende fra'!$D$7/100),2)</f>
        <v>10851.24</v>
      </c>
      <c r="F62" s="1551"/>
      <c r="G62" s="1561"/>
      <c r="J62" s="597"/>
    </row>
    <row r="63" spans="1:10" ht="17.25" customHeight="1" thickBot="1">
      <c r="A63" s="222"/>
      <c r="B63" s="222"/>
      <c r="C63" s="222"/>
      <c r="D63" s="222"/>
      <c r="E63" s="222"/>
      <c r="F63" s="222"/>
      <c r="G63" s="222"/>
      <c r="J63" s="597"/>
    </row>
    <row r="64" spans="1:10" ht="21" customHeight="1" thickBot="1">
      <c r="A64" s="1475" t="s">
        <v>351</v>
      </c>
      <c r="B64" s="1476"/>
      <c r="C64" s="1476"/>
      <c r="D64" s="1476"/>
      <c r="E64" s="1476"/>
      <c r="F64" s="1476"/>
      <c r="G64" s="1477"/>
      <c r="J64" s="597"/>
    </row>
    <row r="65" spans="1:9" ht="12.75" customHeight="1" thickBot="1">
      <c r="A65" s="608"/>
      <c r="B65" s="608"/>
      <c r="C65" s="608"/>
      <c r="D65" s="608"/>
      <c r="E65" s="608"/>
      <c r="F65" s="608"/>
      <c r="G65" s="608"/>
    </row>
    <row r="66" spans="1:9" ht="34.25" customHeight="1" thickBot="1">
      <c r="A66" s="1478" t="s">
        <v>469</v>
      </c>
      <c r="B66" s="1479"/>
      <c r="C66" s="1479"/>
      <c r="D66" s="1479"/>
      <c r="E66" s="1479"/>
      <c r="F66" s="1479"/>
      <c r="G66" s="1480"/>
    </row>
    <row r="67" spans="1:9" ht="17.25" customHeight="1">
      <c r="A67" s="1513" t="s">
        <v>472</v>
      </c>
      <c r="B67" s="1514"/>
      <c r="C67" s="1514"/>
      <c r="D67" s="1514"/>
      <c r="E67" s="1514"/>
      <c r="F67" s="1514"/>
      <c r="G67" s="1515"/>
    </row>
    <row r="68" spans="1:9" ht="72" customHeight="1" thickBot="1">
      <c r="A68" s="1516"/>
      <c r="B68" s="1517"/>
      <c r="C68" s="1517"/>
      <c r="D68" s="1517"/>
      <c r="E68" s="1517"/>
      <c r="F68" s="1517"/>
      <c r="G68" s="1518"/>
    </row>
    <row r="69" spans="1:9" ht="18" customHeight="1" thickBot="1">
      <c r="A69" s="907"/>
      <c r="B69" s="907"/>
      <c r="C69" s="907"/>
      <c r="D69" s="907"/>
      <c r="E69" s="907"/>
      <c r="F69" s="907"/>
      <c r="G69" s="907"/>
    </row>
    <row r="70" spans="1:9" ht="44" customHeight="1" thickBot="1">
      <c r="A70" s="1519" t="s">
        <v>470</v>
      </c>
      <c r="B70" s="1520"/>
      <c r="C70" s="1520"/>
      <c r="D70" s="1520"/>
      <c r="E70" s="1520"/>
      <c r="F70" s="1520"/>
      <c r="G70" s="1521"/>
    </row>
    <row r="71" spans="1:9" ht="18.75" customHeight="1">
      <c r="A71" s="1455" t="s">
        <v>471</v>
      </c>
      <c r="B71" s="1456"/>
      <c r="C71" s="1456"/>
      <c r="D71" s="1456"/>
      <c r="E71" s="1456"/>
      <c r="F71" s="1456"/>
      <c r="G71" s="1457"/>
    </row>
    <row r="72" spans="1:9" ht="15.75" customHeight="1">
      <c r="A72" s="1452" t="s">
        <v>371</v>
      </c>
      <c r="B72" s="1453"/>
      <c r="C72" s="1453"/>
      <c r="D72" s="1453"/>
      <c r="E72" s="1453"/>
      <c r="F72" s="1453"/>
      <c r="G72" s="1454"/>
    </row>
    <row r="73" spans="1:9" ht="29.25" customHeight="1">
      <c r="A73" s="1450" t="s">
        <v>57</v>
      </c>
      <c r="B73" s="1468" t="s">
        <v>131</v>
      </c>
      <c r="C73" s="1374" t="s">
        <v>310</v>
      </c>
      <c r="D73" s="1463" t="s">
        <v>355</v>
      </c>
      <c r="E73" s="1373" t="s">
        <v>93</v>
      </c>
      <c r="F73" s="1374"/>
      <c r="G73" s="1375"/>
    </row>
    <row r="74" spans="1:9" ht="20.25" customHeight="1">
      <c r="A74" s="1450"/>
      <c r="B74" s="1469"/>
      <c r="C74" s="1377"/>
      <c r="D74" s="1464"/>
      <c r="E74" s="1376"/>
      <c r="F74" s="1377"/>
      <c r="G74" s="1378"/>
      <c r="H74" s="597"/>
      <c r="I74" s="597"/>
    </row>
    <row r="75" spans="1:9" ht="32.25" customHeight="1" thickBot="1">
      <c r="A75" s="1451"/>
      <c r="B75" s="652">
        <v>40999</v>
      </c>
      <c r="C75" s="653" t="str">
        <f>'Løntabel gældende fra'!$D$1</f>
        <v>01-04-2025</v>
      </c>
      <c r="D75" s="695" t="str">
        <f>C75</f>
        <v>01-04-2025</v>
      </c>
      <c r="E75" s="1370" t="s">
        <v>550</v>
      </c>
      <c r="F75" s="1371"/>
      <c r="G75" s="1372"/>
      <c r="H75" s="597"/>
      <c r="I75" s="597"/>
    </row>
    <row r="76" spans="1:9" ht="21.75" customHeight="1" thickBot="1">
      <c r="A76" s="649">
        <v>50</v>
      </c>
      <c r="B76" s="648">
        <v>521094</v>
      </c>
      <c r="C76" s="650">
        <f>B76*(1+'Løntabel gældende fra'!$D$7/100)</f>
        <v>642558.40593000001</v>
      </c>
      <c r="D76" s="651">
        <f>ROUND(C76/12,2)</f>
        <v>53546.53</v>
      </c>
      <c r="E76" s="1411">
        <f>ROUND(D76*0.1807,2)</f>
        <v>9675.86</v>
      </c>
      <c r="F76" s="1412"/>
      <c r="G76" s="1413"/>
      <c r="H76" s="598"/>
    </row>
    <row r="77" spans="1:9" ht="12.75" customHeight="1">
      <c r="A77" s="1437" t="s">
        <v>382</v>
      </c>
      <c r="B77" s="1437"/>
      <c r="C77" s="1437"/>
      <c r="D77" s="1437"/>
      <c r="E77" s="1438"/>
      <c r="F77" s="1438"/>
      <c r="G77" s="1438"/>
      <c r="H77" s="597"/>
    </row>
    <row r="78" spans="1:9" ht="45" customHeight="1" thickBot="1">
      <c r="A78" s="1439"/>
      <c r="B78" s="1439"/>
      <c r="C78" s="1439"/>
      <c r="D78" s="1439"/>
      <c r="E78" s="1439"/>
      <c r="F78" s="1439"/>
      <c r="G78" s="1439"/>
    </row>
    <row r="79" spans="1:9" ht="16.5" customHeight="1" thickBot="1">
      <c r="A79" s="1460" t="s">
        <v>325</v>
      </c>
      <c r="B79" s="1461"/>
      <c r="C79" s="1461"/>
      <c r="D79" s="1461"/>
      <c r="E79" s="1461"/>
      <c r="F79" s="1461"/>
      <c r="G79" s="1462"/>
    </row>
    <row r="80" spans="1:9" ht="19.5" customHeight="1">
      <c r="A80" s="1482" t="s">
        <v>324</v>
      </c>
      <c r="B80" s="1485" t="s">
        <v>352</v>
      </c>
      <c r="C80" s="1486"/>
      <c r="D80" s="1487"/>
      <c r="E80" s="1440" t="s">
        <v>352</v>
      </c>
      <c r="F80" s="1441"/>
      <c r="G80" s="1442"/>
    </row>
    <row r="81" spans="1:7" ht="14.25" customHeight="1">
      <c r="A81" s="1483"/>
      <c r="B81" s="1488">
        <v>40999</v>
      </c>
      <c r="C81" s="1489"/>
      <c r="D81" s="1490"/>
      <c r="E81" s="1443" t="str">
        <f>'Løntabel gældende fra'!$D$1</f>
        <v>01-04-2025</v>
      </c>
      <c r="F81" s="1444"/>
      <c r="G81" s="1445"/>
    </row>
    <row r="82" spans="1:7">
      <c r="A82" s="1483"/>
      <c r="B82" s="1491"/>
      <c r="C82" s="1492"/>
      <c r="D82" s="1493"/>
      <c r="E82" s="1446"/>
      <c r="F82" s="1447"/>
      <c r="G82" s="1448"/>
    </row>
    <row r="83" spans="1:7" ht="16" thickBot="1">
      <c r="A83" s="1484"/>
      <c r="B83" s="1500" t="s">
        <v>353</v>
      </c>
      <c r="C83" s="1449"/>
      <c r="D83" s="658" t="s">
        <v>354</v>
      </c>
      <c r="E83" s="1449" t="s">
        <v>353</v>
      </c>
      <c r="F83" s="1449"/>
      <c r="G83" s="659" t="s">
        <v>354</v>
      </c>
    </row>
    <row r="84" spans="1:7" ht="18" customHeight="1">
      <c r="A84" s="667">
        <v>1</v>
      </c>
      <c r="B84" s="1458">
        <v>485345</v>
      </c>
      <c r="C84" s="1459"/>
      <c r="D84" s="656">
        <v>511173</v>
      </c>
      <c r="E84" s="1481">
        <f>ROUND(B84*(1+'Løntabel gældende fra'!$D$7/100),2)</f>
        <v>598476.49</v>
      </c>
      <c r="F84" s="1481"/>
      <c r="G84" s="657">
        <f>ROUND(D84*(1+'Løntabel gældende fra'!$D$7/100),2)</f>
        <v>630324.87</v>
      </c>
    </row>
    <row r="85" spans="1:7" ht="16" thickBot="1">
      <c r="A85" s="655">
        <v>2</v>
      </c>
      <c r="B85" s="1435">
        <v>450909</v>
      </c>
      <c r="C85" s="1436"/>
      <c r="D85" s="654">
        <v>472431</v>
      </c>
      <c r="E85" s="1481">
        <f>ROUND(B85*(1+'Løntabel gældende fra'!$D$7/100),2)</f>
        <v>556013.63</v>
      </c>
      <c r="F85" s="1481"/>
      <c r="G85" s="657">
        <f>ROUND(D85*(1+'Løntabel gældende fra'!$D$7/100),2)</f>
        <v>582552.30000000005</v>
      </c>
    </row>
    <row r="86" spans="1:7" ht="26.25" customHeight="1" thickBot="1">
      <c r="A86" s="1402" t="s">
        <v>381</v>
      </c>
      <c r="B86" s="1402"/>
      <c r="C86" s="1402"/>
      <c r="D86" s="1402"/>
      <c r="E86" s="1402"/>
      <c r="F86" s="1402"/>
      <c r="G86" s="1402"/>
    </row>
    <row r="87" spans="1:7" ht="21.75" customHeight="1" thickBot="1">
      <c r="A87" s="1496" t="s">
        <v>323</v>
      </c>
      <c r="B87" s="1497"/>
      <c r="C87" s="1497"/>
      <c r="D87" s="1497"/>
      <c r="E87" s="1497"/>
      <c r="F87" s="1497"/>
      <c r="G87" s="1498"/>
    </row>
    <row r="88" spans="1:7" ht="18" customHeight="1">
      <c r="A88" s="1465" t="s">
        <v>238</v>
      </c>
      <c r="B88" s="1499" t="s">
        <v>131</v>
      </c>
      <c r="C88" s="1381" t="s">
        <v>310</v>
      </c>
      <c r="D88" s="1531" t="s">
        <v>257</v>
      </c>
      <c r="E88" s="1381" t="str">
        <f>F8</f>
        <v>Pensionsbidrag til AkedemikerPension</v>
      </c>
      <c r="F88" s="1381"/>
      <c r="G88" s="1382"/>
    </row>
    <row r="89" spans="1:7" ht="17.25" customHeight="1">
      <c r="A89" s="1466"/>
      <c r="B89" s="1376"/>
      <c r="C89" s="1377"/>
      <c r="D89" s="1532"/>
      <c r="E89" s="1377"/>
      <c r="F89" s="1377"/>
      <c r="G89" s="1378"/>
    </row>
    <row r="90" spans="1:7" ht="17.25" customHeight="1" thickBot="1">
      <c r="A90" s="1466"/>
      <c r="B90" s="661">
        <v>40999</v>
      </c>
      <c r="C90" s="653" t="str">
        <f>'Løntabel gældende fra'!$D$1</f>
        <v>01-04-2025</v>
      </c>
      <c r="D90" s="653" t="str">
        <f>C90</f>
        <v>01-04-2025</v>
      </c>
      <c r="E90" s="1379" t="s">
        <v>549</v>
      </c>
      <c r="F90" s="1379"/>
      <c r="G90" s="1380"/>
    </row>
    <row r="91" spans="1:7" ht="17.25" customHeight="1" thickBot="1">
      <c r="A91" s="1467"/>
      <c r="B91" s="660">
        <v>460000</v>
      </c>
      <c r="C91" s="650">
        <f>ROUND(B91*(1+'Løntabel gældende fra'!$D$7/100),2)</f>
        <v>567223.69999999995</v>
      </c>
      <c r="D91" s="651">
        <f>ROUND(C91/12,2)</f>
        <v>47268.639999999999</v>
      </c>
      <c r="E91" s="1533">
        <f>ROUND(D91*0.1807,2)</f>
        <v>8541.44</v>
      </c>
      <c r="F91" s="1534"/>
      <c r="G91" s="1535"/>
    </row>
    <row r="92" spans="1:7" ht="19.5" customHeight="1" thickBot="1">
      <c r="A92" s="619"/>
      <c r="B92" s="609"/>
      <c r="C92" s="609"/>
      <c r="D92" s="609"/>
      <c r="E92" s="610"/>
      <c r="F92" s="610"/>
      <c r="G92" s="610"/>
    </row>
    <row r="93" spans="1:7" ht="20.25" customHeight="1">
      <c r="A93" s="1536" t="s">
        <v>322</v>
      </c>
      <c r="B93" s="1537"/>
      <c r="C93" s="1537"/>
      <c r="D93" s="1537"/>
      <c r="E93" s="1537"/>
      <c r="F93" s="1537"/>
      <c r="G93" s="1538"/>
    </row>
    <row r="94" spans="1:7" ht="20.25" customHeight="1" thickBot="1">
      <c r="A94" s="1522" t="s">
        <v>321</v>
      </c>
      <c r="B94" s="1523"/>
      <c r="C94" s="1523"/>
      <c r="D94" s="1523"/>
      <c r="E94" s="1523"/>
      <c r="F94" s="1523"/>
      <c r="G94" s="1524"/>
    </row>
    <row r="95" spans="1:7" ht="21" customHeight="1">
      <c r="A95" s="1525" t="s">
        <v>115</v>
      </c>
      <c r="B95" s="1527" t="s">
        <v>131</v>
      </c>
      <c r="C95" s="1528" t="s">
        <v>310</v>
      </c>
      <c r="D95" s="1529" t="s">
        <v>257</v>
      </c>
      <c r="E95" s="1381" t="str">
        <f>E88</f>
        <v>Pensionsbidrag til AkedemikerPension</v>
      </c>
      <c r="F95" s="1381"/>
      <c r="G95" s="1382"/>
    </row>
    <row r="96" spans="1:7" ht="19.5" customHeight="1">
      <c r="A96" s="1526"/>
      <c r="B96" s="1468"/>
      <c r="C96" s="1374"/>
      <c r="D96" s="1530"/>
      <c r="E96" s="1377"/>
      <c r="F96" s="1377"/>
      <c r="G96" s="1378"/>
    </row>
    <row r="97" spans="1:9" ht="13.5" customHeight="1" thickBot="1">
      <c r="A97" s="666"/>
      <c r="B97" s="652">
        <v>40999</v>
      </c>
      <c r="C97" s="653" t="str">
        <f>'Løntabel gældende fra'!$D$1</f>
        <v>01-04-2025</v>
      </c>
      <c r="D97" s="653" t="str">
        <f>C97</f>
        <v>01-04-2025</v>
      </c>
      <c r="E97" s="1371" t="s">
        <v>549</v>
      </c>
      <c r="F97" s="1371"/>
      <c r="G97" s="1372"/>
      <c r="H97" s="607"/>
    </row>
    <row r="98" spans="1:9">
      <c r="A98" s="664" t="s">
        <v>320</v>
      </c>
      <c r="B98" s="662">
        <v>131590</v>
      </c>
      <c r="C98" s="677">
        <f>ROUND(B98*(1+'Løntabel gældende fra'!$D$7/100),2)</f>
        <v>162262.97</v>
      </c>
      <c r="D98" s="677">
        <f>ROUND(C98/12,2)</f>
        <v>13521.91</v>
      </c>
      <c r="E98" s="1352">
        <f>ROUND(D98*0.1807,2)</f>
        <v>2443.41</v>
      </c>
      <c r="F98" s="1352"/>
      <c r="G98" s="1353"/>
      <c r="I98" s="607"/>
    </row>
    <row r="99" spans="1:9" ht="15" customHeight="1" thickBot="1">
      <c r="A99" s="665" t="s">
        <v>319</v>
      </c>
      <c r="B99" s="663">
        <v>150988</v>
      </c>
      <c r="C99" s="676">
        <f>ROUND(B99*(1+'Løntabel gældende fra'!$D$7/100),2)</f>
        <v>186182.55</v>
      </c>
      <c r="D99" s="677">
        <f>ROUND(C99/12,2)</f>
        <v>15515.21</v>
      </c>
      <c r="E99" s="1352">
        <f>ROUND(D99*0.1807,2)</f>
        <v>2803.6</v>
      </c>
      <c r="F99" s="1352"/>
      <c r="G99" s="1353"/>
    </row>
    <row r="100" spans="1:9" customFormat="1" ht="14.5">
      <c r="A100" s="681" t="s">
        <v>359</v>
      </c>
      <c r="B100" s="605"/>
      <c r="C100" s="605"/>
      <c r="D100" s="605"/>
      <c r="E100" s="605"/>
      <c r="F100" s="605"/>
      <c r="G100" s="605"/>
    </row>
    <row r="101" spans="1:9" customFormat="1" ht="16" customHeight="1">
      <c r="A101" s="2"/>
      <c r="B101" s="2"/>
      <c r="C101" s="2"/>
      <c r="D101" s="2"/>
      <c r="E101" s="2"/>
      <c r="F101" s="2"/>
      <c r="G101" s="2"/>
    </row>
    <row r="102" spans="1:9" customFormat="1" ht="14" customHeight="1"/>
    <row r="103" spans="1:9" customFormat="1" ht="32" customHeight="1"/>
    <row r="104" spans="1:9" customFormat="1" ht="15" customHeight="1"/>
    <row r="105" spans="1:9" customFormat="1" ht="16" customHeight="1"/>
    <row r="106" spans="1:9" customFormat="1" ht="16" customHeight="1"/>
    <row r="107" spans="1:9" ht="14.5">
      <c r="A107"/>
      <c r="B107"/>
      <c r="C107"/>
      <c r="D107"/>
      <c r="E107"/>
      <c r="F107"/>
      <c r="G107"/>
    </row>
    <row r="108" spans="1:9" ht="14.5">
      <c r="A108"/>
      <c r="B108"/>
      <c r="C108"/>
      <c r="D108"/>
      <c r="E108"/>
      <c r="F108"/>
      <c r="G108"/>
    </row>
  </sheetData>
  <mergeCells count="134">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B85:C85"/>
    <mergeCell ref="A77:G78"/>
    <mergeCell ref="E80:G80"/>
    <mergeCell ref="E81:G82"/>
    <mergeCell ref="E83:F83"/>
    <mergeCell ref="A73:A75"/>
    <mergeCell ref="A72:G72"/>
    <mergeCell ref="A71:G71"/>
    <mergeCell ref="B84:C84"/>
    <mergeCell ref="A79:G79"/>
    <mergeCell ref="C73:C74"/>
    <mergeCell ref="D73:D74"/>
    <mergeCell ref="A33:B33"/>
    <mergeCell ref="A32:B32"/>
    <mergeCell ref="A31:B31"/>
    <mergeCell ref="A30:B30"/>
    <mergeCell ref="A29:B29"/>
    <mergeCell ref="E39:E40"/>
    <mergeCell ref="A50:G50"/>
    <mergeCell ref="A51:B52"/>
    <mergeCell ref="C51:D52"/>
    <mergeCell ref="A46:B46"/>
    <mergeCell ref="A45:B45"/>
    <mergeCell ref="A44:B44"/>
    <mergeCell ref="A37:G37"/>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1"/>
  <sheetViews>
    <sheetView view="pageBreakPreview" zoomScaleSheetLayoutView="100" workbookViewId="0">
      <selection activeCell="A107" sqref="A107:C107"/>
    </sheetView>
  </sheetViews>
  <sheetFormatPr defaultColWidth="8.81640625" defaultRowHeight="14"/>
  <cols>
    <col min="1" max="1" width="10" style="227" customWidth="1"/>
    <col min="2" max="8" width="17" style="227" customWidth="1"/>
    <col min="9" max="16384" width="8.81640625" style="227"/>
  </cols>
  <sheetData>
    <row r="1" spans="1:8" ht="20">
      <c r="A1" s="1186" t="s">
        <v>19</v>
      </c>
      <c r="B1" s="1187"/>
      <c r="C1" s="1187"/>
      <c r="D1" s="1187"/>
      <c r="E1" s="1187"/>
      <c r="F1" s="1187"/>
      <c r="G1" s="1187"/>
      <c r="H1" s="1188"/>
    </row>
    <row r="2" spans="1:8" ht="20">
      <c r="A2" s="1199" t="s">
        <v>167</v>
      </c>
      <c r="B2" s="1200"/>
      <c r="C2" s="1200"/>
      <c r="D2" s="1200"/>
      <c r="E2" s="1200"/>
      <c r="F2" s="1200"/>
      <c r="G2" s="1200"/>
      <c r="H2" s="1201"/>
    </row>
    <row r="3" spans="1:8" ht="20.5" thickBot="1">
      <c r="A3" s="1661" t="str">
        <f>'Forside 1'!A6:I6</f>
        <v>Gældende fra 1. april 2025</v>
      </c>
      <c r="B3" s="1662"/>
      <c r="C3" s="1662"/>
      <c r="D3" s="1662"/>
      <c r="E3" s="1662"/>
      <c r="F3" s="1662"/>
      <c r="G3" s="1662"/>
      <c r="H3" s="1663"/>
    </row>
    <row r="4" spans="1:8" ht="18.75" customHeight="1" thickBot="1">
      <c r="A4" s="606"/>
      <c r="B4" s="606"/>
      <c r="C4" s="606"/>
      <c r="D4" s="606"/>
      <c r="E4" s="606"/>
      <c r="F4" s="606"/>
      <c r="G4" s="606"/>
      <c r="H4" s="606"/>
    </row>
    <row r="5" spans="1:8" ht="41.25" customHeight="1" thickBot="1">
      <c r="A5" s="1666" t="s">
        <v>456</v>
      </c>
      <c r="B5" s="1667"/>
      <c r="C5" s="1667"/>
      <c r="D5" s="1667"/>
      <c r="E5" s="1667"/>
      <c r="F5" s="1668"/>
      <c r="G5" s="1643" t="s">
        <v>93</v>
      </c>
      <c r="H5" s="1644"/>
    </row>
    <row r="6" spans="1:8" ht="26" customHeight="1" thickBot="1">
      <c r="A6" s="1640" t="s">
        <v>455</v>
      </c>
      <c r="B6" s="1641"/>
      <c r="C6" s="1641"/>
      <c r="D6" s="1641"/>
      <c r="E6" s="1641"/>
      <c r="F6" s="1641"/>
      <c r="G6" s="1641"/>
      <c r="H6" s="1642"/>
    </row>
    <row r="7" spans="1:8">
      <c r="A7" s="680" t="s">
        <v>57</v>
      </c>
      <c r="B7" s="680" t="s">
        <v>75</v>
      </c>
      <c r="C7" s="680" t="s">
        <v>76</v>
      </c>
      <c r="D7" s="680" t="s">
        <v>77</v>
      </c>
      <c r="E7" s="680" t="s">
        <v>78</v>
      </c>
      <c r="F7" s="680" t="s">
        <v>79</v>
      </c>
      <c r="G7" s="680" t="s">
        <v>214</v>
      </c>
      <c r="H7" s="671">
        <v>0.14699999999999999</v>
      </c>
    </row>
    <row r="8" spans="1:8" ht="15.5">
      <c r="A8" s="543">
        <v>14</v>
      </c>
      <c r="B8" s="544">
        <f>+'Statens skalatrin'!D46</f>
        <v>23388.83</v>
      </c>
      <c r="C8" s="544">
        <f>+'Statens skalatrin'!F46</f>
        <v>23875.919999999998</v>
      </c>
      <c r="D8" s="544">
        <f>+'Statens skalatrin'!H46</f>
        <v>24213.08</v>
      </c>
      <c r="E8" s="544">
        <f>+'Statens skalatrin'!J46</f>
        <v>24700</v>
      </c>
      <c r="F8" s="544">
        <f>+'Statens skalatrin'!L46</f>
        <v>25037.17</v>
      </c>
      <c r="G8" s="545">
        <f>+'Statens skalatrin'!O46</f>
        <v>21867.83</v>
      </c>
      <c r="H8" s="545">
        <f>ROUND(G8*$H$7,2)</f>
        <v>3214.57</v>
      </c>
    </row>
    <row r="9" spans="1:8" ht="15.5">
      <c r="A9" s="543">
        <v>15</v>
      </c>
      <c r="B9" s="544">
        <f>+'Statens skalatrin'!D49</f>
        <v>23803.75</v>
      </c>
      <c r="C9" s="544">
        <f>+'Statens skalatrin'!F49</f>
        <v>24303</v>
      </c>
      <c r="D9" s="544">
        <f>+'Statens skalatrin'!H49</f>
        <v>24648.5</v>
      </c>
      <c r="E9" s="544">
        <f>+'Statens skalatrin'!J49</f>
        <v>25147.919999999998</v>
      </c>
      <c r="F9" s="544">
        <f>+'Statens skalatrin'!L49</f>
        <v>25493.58</v>
      </c>
      <c r="G9" s="545">
        <f>+'Statens skalatrin'!O49</f>
        <v>22256.51</v>
      </c>
      <c r="H9" s="545">
        <f t="shared" ref="H9:H32" si="0">ROUND(G9*$H$7,2)</f>
        <v>3271.71</v>
      </c>
    </row>
    <row r="10" spans="1:8" ht="15.5">
      <c r="A10" s="543">
        <v>16</v>
      </c>
      <c r="B10" s="544">
        <f>'Statens skalatrin'!D52</f>
        <v>24121.67</v>
      </c>
      <c r="C10" s="544">
        <f>+'Statens skalatrin'!F52</f>
        <v>24633.67</v>
      </c>
      <c r="D10" s="544">
        <f>+'Statens skalatrin'!H52</f>
        <v>24988.17</v>
      </c>
      <c r="E10" s="544">
        <f>+'Statens skalatrin'!J52</f>
        <v>25500</v>
      </c>
      <c r="F10" s="544">
        <f>+'Statens skalatrin'!L52</f>
        <v>25854.5</v>
      </c>
      <c r="G10" s="545">
        <f>+'Statens skalatrin'!O52</f>
        <v>22656.12</v>
      </c>
      <c r="H10" s="545">
        <f t="shared" si="0"/>
        <v>3330.45</v>
      </c>
    </row>
    <row r="11" spans="1:8" ht="15.5">
      <c r="A11" s="543">
        <v>17</v>
      </c>
      <c r="B11" s="544">
        <f>'Statens skalatrin'!D55</f>
        <v>24559.67</v>
      </c>
      <c r="C11" s="544">
        <f>+'Statens skalatrin'!F55</f>
        <v>25084.67</v>
      </c>
      <c r="D11" s="544">
        <f>+'Statens skalatrin'!H55</f>
        <v>25448.080000000002</v>
      </c>
      <c r="E11" s="544">
        <f>+'Statens skalatrin'!J55</f>
        <v>25973</v>
      </c>
      <c r="F11" s="544">
        <f>+'Statens skalatrin'!L55</f>
        <v>26336.25</v>
      </c>
      <c r="G11" s="545">
        <f>+'Statens skalatrin'!O55</f>
        <v>23066.49</v>
      </c>
      <c r="H11" s="545">
        <f t="shared" si="0"/>
        <v>3390.77</v>
      </c>
    </row>
    <row r="12" spans="1:8" ht="15.5">
      <c r="A12" s="543">
        <v>18</v>
      </c>
      <c r="B12" s="544">
        <f>'Statens skalatrin'!D58</f>
        <v>25009.919999999998</v>
      </c>
      <c r="C12" s="544">
        <f>+'Statens skalatrin'!F58</f>
        <v>25548.25</v>
      </c>
      <c r="D12" s="544">
        <f>+'Statens skalatrin'!H58</f>
        <v>25920.92</v>
      </c>
      <c r="E12" s="544">
        <f>+'Statens skalatrin'!J58</f>
        <v>26459.17</v>
      </c>
      <c r="F12" s="544">
        <f>+'Statens skalatrin'!L58</f>
        <v>26831.67</v>
      </c>
      <c r="G12" s="545">
        <f>+'Statens skalatrin'!O58</f>
        <v>23488.35</v>
      </c>
      <c r="H12" s="545">
        <f t="shared" si="0"/>
        <v>3452.79</v>
      </c>
    </row>
    <row r="13" spans="1:8" ht="15.5">
      <c r="A13" s="543">
        <v>19</v>
      </c>
      <c r="B13" s="544">
        <f>'Statens skalatrin'!D61</f>
        <v>25346</v>
      </c>
      <c r="C13" s="544">
        <f>+'Statens skalatrin'!F61</f>
        <v>25898</v>
      </c>
      <c r="D13" s="544">
        <f>+'Statens skalatrin'!H61</f>
        <v>26279.919999999998</v>
      </c>
      <c r="E13" s="544">
        <f>+'Statens skalatrin'!J61</f>
        <v>26832.080000000002</v>
      </c>
      <c r="F13" s="544">
        <f>+'Statens skalatrin'!L61</f>
        <v>27214.33</v>
      </c>
      <c r="G13" s="545">
        <f>+'Statens skalatrin'!O61</f>
        <v>23921.72</v>
      </c>
      <c r="H13" s="545">
        <f t="shared" si="0"/>
        <v>3516.49</v>
      </c>
    </row>
    <row r="14" spans="1:8" ht="15.5">
      <c r="A14" s="543">
        <v>20</v>
      </c>
      <c r="B14" s="544">
        <f>+'Statens skalatrin'!D64</f>
        <v>25694.92</v>
      </c>
      <c r="C14" s="544">
        <f>+'Statens skalatrin'!F64</f>
        <v>26260.83</v>
      </c>
      <c r="D14" s="544">
        <f>+'Statens skalatrin'!H64</f>
        <v>26652.75</v>
      </c>
      <c r="E14" s="544">
        <f>+'Statens skalatrin'!J64</f>
        <v>27218.75</v>
      </c>
      <c r="F14" s="544">
        <f>+'Statens skalatrin'!L64</f>
        <v>27610.42</v>
      </c>
      <c r="G14" s="545">
        <f>+'Statens skalatrin'!O64</f>
        <v>24366.95</v>
      </c>
      <c r="H14" s="545">
        <f t="shared" si="0"/>
        <v>3581.94</v>
      </c>
    </row>
    <row r="15" spans="1:8" ht="15.5">
      <c r="A15" s="543">
        <v>21</v>
      </c>
      <c r="B15" s="544">
        <f>+'Statens skalatrin'!D67</f>
        <v>26120.25</v>
      </c>
      <c r="C15" s="544">
        <f>+'Statens skalatrin'!F67</f>
        <v>26700.75</v>
      </c>
      <c r="D15" s="544">
        <f>+'Statens skalatrin'!H67</f>
        <v>27102.58</v>
      </c>
      <c r="E15" s="544">
        <f>+'Statens skalatrin'!J67</f>
        <v>27683.08</v>
      </c>
      <c r="F15" s="544">
        <f>+'Statens skalatrin'!L67</f>
        <v>28085</v>
      </c>
      <c r="G15" s="545">
        <f>+'Statens skalatrin'!O67</f>
        <v>24824.6</v>
      </c>
      <c r="H15" s="545">
        <f t="shared" si="0"/>
        <v>3649.22</v>
      </c>
    </row>
    <row r="16" spans="1:8" ht="15.5">
      <c r="A16" s="543">
        <v>22</v>
      </c>
      <c r="B16" s="544">
        <f>+'Statens skalatrin'!D70</f>
        <v>26514.33</v>
      </c>
      <c r="C16" s="544">
        <f>+'Statens skalatrin'!F70</f>
        <v>27094.83</v>
      </c>
      <c r="D16" s="544">
        <f>+'Statens skalatrin'!H70</f>
        <v>27496.67</v>
      </c>
      <c r="E16" s="544">
        <f>+'Statens skalatrin'!J70</f>
        <v>28077.17</v>
      </c>
      <c r="F16" s="544">
        <f>+'Statens skalatrin'!L70</f>
        <v>28479.08</v>
      </c>
      <c r="G16" s="545">
        <f>+'Statens skalatrin'!O70</f>
        <v>25281.87</v>
      </c>
      <c r="H16" s="545">
        <f t="shared" si="0"/>
        <v>3716.43</v>
      </c>
    </row>
    <row r="17" spans="1:8" ht="15.5">
      <c r="A17" s="543">
        <v>23</v>
      </c>
      <c r="B17" s="544">
        <f>+'Statens skalatrin'!D73</f>
        <v>26936.67</v>
      </c>
      <c r="C17" s="544">
        <f>+'Statens skalatrin'!F73</f>
        <v>27501</v>
      </c>
      <c r="D17" s="544">
        <f>+'Statens skalatrin'!H73</f>
        <v>27892</v>
      </c>
      <c r="E17" s="544">
        <f>+'Statens skalatrin'!J73</f>
        <v>28456.58</v>
      </c>
      <c r="F17" s="544">
        <f>+'Statens skalatrin'!L73</f>
        <v>28847.25</v>
      </c>
      <c r="G17" s="545">
        <f>+'Statens skalatrin'!O73</f>
        <v>25738.04</v>
      </c>
      <c r="H17" s="545">
        <f t="shared" si="0"/>
        <v>3783.49</v>
      </c>
    </row>
    <row r="18" spans="1:8" ht="15.5">
      <c r="A18" s="543">
        <v>24</v>
      </c>
      <c r="B18" s="544">
        <f>+'Statens skalatrin'!D76</f>
        <v>27371.83</v>
      </c>
      <c r="C18" s="544">
        <f>+'Statens skalatrin'!F76</f>
        <v>27920.33</v>
      </c>
      <c r="D18" s="544">
        <f>+'Statens skalatrin'!H76</f>
        <v>28300.17</v>
      </c>
      <c r="E18" s="544">
        <f>+'Statens skalatrin'!J76</f>
        <v>28848.75</v>
      </c>
      <c r="F18" s="544">
        <f>+'Statens skalatrin'!L76</f>
        <v>29228.58</v>
      </c>
      <c r="G18" s="545">
        <f>+'Statens skalatrin'!O76</f>
        <v>26207.17</v>
      </c>
      <c r="H18" s="545">
        <f t="shared" si="0"/>
        <v>3852.45</v>
      </c>
    </row>
    <row r="19" spans="1:8" ht="15.5">
      <c r="A19" s="543">
        <v>25</v>
      </c>
      <c r="B19" s="544">
        <f>+'Statens skalatrin'!D79</f>
        <v>27816.67</v>
      </c>
      <c r="C19" s="544">
        <f>+'Statens skalatrin'!F79</f>
        <v>28348.17</v>
      </c>
      <c r="D19" s="544">
        <f>+'Statens skalatrin'!H79</f>
        <v>28716.080000000002</v>
      </c>
      <c r="E19" s="544">
        <f>+'Statens skalatrin'!J79</f>
        <v>29247.58</v>
      </c>
      <c r="F19" s="544">
        <f>+'Statens skalatrin'!L79</f>
        <v>29615.42</v>
      </c>
      <c r="G19" s="545">
        <f>+'Statens skalatrin'!O79</f>
        <v>26688.46</v>
      </c>
      <c r="H19" s="545">
        <f t="shared" si="0"/>
        <v>3923.2</v>
      </c>
    </row>
    <row r="20" spans="1:8" ht="15.5">
      <c r="A20" s="543">
        <v>26</v>
      </c>
      <c r="B20" s="544">
        <f>+'Statens skalatrin'!D82</f>
        <v>28271.919999999998</v>
      </c>
      <c r="C20" s="544">
        <f>+'Statens skalatrin'!F82</f>
        <v>28784.83</v>
      </c>
      <c r="D20" s="544">
        <f>+'Statens skalatrin'!H82</f>
        <v>29140.080000000002</v>
      </c>
      <c r="E20" s="544">
        <f>+'Statens skalatrin'!J82</f>
        <v>29653.17</v>
      </c>
      <c r="F20" s="544">
        <f>+'Statens skalatrin'!L82</f>
        <v>30008.25</v>
      </c>
      <c r="G20" s="545">
        <f>+'Statens skalatrin'!O82</f>
        <v>27182.41</v>
      </c>
      <c r="H20" s="545">
        <f t="shared" si="0"/>
        <v>3995.81</v>
      </c>
    </row>
    <row r="21" spans="1:8" ht="15.5">
      <c r="A21" s="543">
        <v>27</v>
      </c>
      <c r="B21" s="544">
        <f>+'Statens skalatrin'!D85</f>
        <v>28736.83</v>
      </c>
      <c r="C21" s="544">
        <f>+'Statens skalatrin'!F85</f>
        <v>29230.080000000002</v>
      </c>
      <c r="D21" s="544">
        <f>+'Statens skalatrin'!H85</f>
        <v>29571.919999999998</v>
      </c>
      <c r="E21" s="544">
        <f>+'Statens skalatrin'!J85</f>
        <v>30065.25</v>
      </c>
      <c r="F21" s="544">
        <f>+'Statens skalatrin'!L85</f>
        <v>30406.92</v>
      </c>
      <c r="G21" s="545">
        <f>+'Statens skalatrin'!O85</f>
        <v>27689.14</v>
      </c>
      <c r="H21" s="545">
        <f t="shared" si="0"/>
        <v>4070.3</v>
      </c>
    </row>
    <row r="22" spans="1:8" ht="15.5">
      <c r="A22" s="543">
        <v>28</v>
      </c>
      <c r="B22" s="544">
        <f>+'Statens skalatrin'!D88</f>
        <v>29212.33</v>
      </c>
      <c r="C22" s="544">
        <f>+'Statens skalatrin'!F88</f>
        <v>29684.83</v>
      </c>
      <c r="D22" s="544">
        <f>+'Statens skalatrin'!H88</f>
        <v>30011.919999999998</v>
      </c>
      <c r="E22" s="544">
        <f>+'Statens skalatrin'!J88</f>
        <v>30484.25</v>
      </c>
      <c r="F22" s="544">
        <f>+'Statens skalatrin'!L88</f>
        <v>30811.42</v>
      </c>
      <c r="G22" s="545">
        <f>+'Statens skalatrin'!O88</f>
        <v>28209.33</v>
      </c>
      <c r="H22" s="545">
        <f t="shared" si="0"/>
        <v>4146.7700000000004</v>
      </c>
    </row>
    <row r="23" spans="1:8" ht="15.5">
      <c r="A23" s="543">
        <v>29</v>
      </c>
      <c r="B23" s="544">
        <f>+'Statens skalatrin'!D91</f>
        <v>29698.5</v>
      </c>
      <c r="C23" s="544">
        <f>+'Statens skalatrin'!F91</f>
        <v>30148.58</v>
      </c>
      <c r="D23" s="544">
        <f>+'Statens skalatrin'!H91</f>
        <v>30460.25</v>
      </c>
      <c r="E23" s="544">
        <f>+'Statens skalatrin'!J91</f>
        <v>30910.33</v>
      </c>
      <c r="F23" s="544">
        <f>+'Statens skalatrin'!L91</f>
        <v>31221.83</v>
      </c>
      <c r="G23" s="545">
        <f>+'Statens skalatrin'!O91</f>
        <v>28742.93</v>
      </c>
      <c r="H23" s="545">
        <f t="shared" si="0"/>
        <v>4225.21</v>
      </c>
    </row>
    <row r="24" spans="1:8" ht="15.5">
      <c r="A24" s="543">
        <v>30</v>
      </c>
      <c r="B24" s="544">
        <f>+'Statens skalatrin'!D94</f>
        <v>30195.75</v>
      </c>
      <c r="C24" s="544">
        <f>+'Statens skalatrin'!F94</f>
        <v>30622</v>
      </c>
      <c r="D24" s="544">
        <f>+'Statens skalatrin'!H94</f>
        <v>30917</v>
      </c>
      <c r="E24" s="544">
        <f>+'Statens skalatrin'!J94</f>
        <v>31343</v>
      </c>
      <c r="F24" s="544">
        <f>+'Statens skalatrin'!L94</f>
        <v>31638.17</v>
      </c>
      <c r="G24" s="545">
        <f>+'Statens skalatrin'!O94</f>
        <v>29290.6</v>
      </c>
      <c r="H24" s="545">
        <f t="shared" si="0"/>
        <v>4305.72</v>
      </c>
    </row>
    <row r="25" spans="1:8" ht="15.5">
      <c r="A25" s="543">
        <v>31</v>
      </c>
      <c r="B25" s="544">
        <f>+'Statens skalatrin'!D97</f>
        <v>30703.58</v>
      </c>
      <c r="C25" s="544">
        <f>+'Statens skalatrin'!F97</f>
        <v>31104.42</v>
      </c>
      <c r="D25" s="544">
        <f>+'Statens skalatrin'!H97</f>
        <v>31382.080000000002</v>
      </c>
      <c r="E25" s="544">
        <f>+'Statens skalatrin'!J97</f>
        <v>31782.92</v>
      </c>
      <c r="F25" s="544">
        <f>+'Statens skalatrin'!L97</f>
        <v>32060.5</v>
      </c>
      <c r="G25" s="545">
        <f>+'Statens skalatrin'!O97</f>
        <v>29852.47</v>
      </c>
      <c r="H25" s="545">
        <f t="shared" si="0"/>
        <v>4388.3100000000004</v>
      </c>
    </row>
    <row r="26" spans="1:8" ht="15.5">
      <c r="A26" s="543">
        <v>32</v>
      </c>
      <c r="B26" s="544">
        <f>+'Statens skalatrin'!D100</f>
        <v>31223.17</v>
      </c>
      <c r="C26" s="544">
        <f>+'Statens skalatrin'!F100</f>
        <v>31597</v>
      </c>
      <c r="D26" s="544">
        <f>+'Statens skalatrin'!H100</f>
        <v>31855.919999999998</v>
      </c>
      <c r="E26" s="544">
        <f>+'Statens skalatrin'!J100</f>
        <v>32229.919999999998</v>
      </c>
      <c r="F26" s="544">
        <f>+'Statens skalatrin'!L100</f>
        <v>32488.67</v>
      </c>
      <c r="G26" s="545">
        <f>+'Statens skalatrin'!O100</f>
        <v>30429.21</v>
      </c>
      <c r="H26" s="545">
        <f t="shared" si="0"/>
        <v>4473.09</v>
      </c>
    </row>
    <row r="27" spans="1:8" ht="15.5">
      <c r="A27" s="543">
        <v>33</v>
      </c>
      <c r="B27" s="544">
        <f>+'Statens skalatrin'!D103</f>
        <v>31753.83</v>
      </c>
      <c r="C27" s="544">
        <f>+'Statens skalatrin'!F103</f>
        <v>32099</v>
      </c>
      <c r="D27" s="544">
        <f>+'Statens skalatrin'!H103</f>
        <v>32338.25</v>
      </c>
      <c r="E27" s="544">
        <f>+'Statens skalatrin'!J103</f>
        <v>32683.5</v>
      </c>
      <c r="F27" s="544">
        <f>+'Statens skalatrin'!L103</f>
        <v>32922.58</v>
      </c>
      <c r="G27" s="545">
        <f>+'Statens skalatrin'!O103</f>
        <v>31020.75</v>
      </c>
      <c r="H27" s="545">
        <f t="shared" si="0"/>
        <v>4560.05</v>
      </c>
    </row>
    <row r="28" spans="1:8" ht="15.5">
      <c r="A28" s="543">
        <v>34</v>
      </c>
      <c r="B28" s="544">
        <f>+'Statens skalatrin'!D106</f>
        <v>32296.58</v>
      </c>
      <c r="C28" s="544">
        <f>+'Statens skalatrin'!F106</f>
        <v>32611.58</v>
      </c>
      <c r="D28" s="544">
        <f>+'Statens skalatrin'!H106</f>
        <v>32829.58</v>
      </c>
      <c r="E28" s="544">
        <f>+'Statens skalatrin'!J106</f>
        <v>33144.33</v>
      </c>
      <c r="F28" s="544">
        <f>+'Statens skalatrin'!L106</f>
        <v>33362.42</v>
      </c>
      <c r="G28" s="545">
        <f>+'Statens skalatrin'!O106</f>
        <v>31627.919999999998</v>
      </c>
      <c r="H28" s="545">
        <f t="shared" si="0"/>
        <v>4649.3</v>
      </c>
    </row>
    <row r="29" spans="1:8" ht="15.5">
      <c r="A29" s="543">
        <v>35</v>
      </c>
      <c r="B29" s="544">
        <f>+'Statens skalatrin'!D109</f>
        <v>32851.42</v>
      </c>
      <c r="C29" s="544">
        <f>+'Statens skalatrin'!F109</f>
        <v>33134.25</v>
      </c>
      <c r="D29" s="544">
        <f>+'Statens skalatrin'!H109</f>
        <v>33329.919999999998</v>
      </c>
      <c r="E29" s="544">
        <f>+'Statens skalatrin'!J109</f>
        <v>33612.83</v>
      </c>
      <c r="F29" s="544">
        <f>+'Statens skalatrin'!L109</f>
        <v>33808.5</v>
      </c>
      <c r="G29" s="545">
        <f>+'Statens skalatrin'!O109</f>
        <v>32251.040000000001</v>
      </c>
      <c r="H29" s="545">
        <f t="shared" si="0"/>
        <v>4740.8999999999996</v>
      </c>
    </row>
    <row r="30" spans="1:8" ht="15.5">
      <c r="A30" s="543">
        <v>36</v>
      </c>
      <c r="B30" s="544">
        <f>'Statens skalatrin'!D112</f>
        <v>33418.33</v>
      </c>
      <c r="C30" s="544">
        <f>+'Statens skalatrin'!F112</f>
        <v>33667</v>
      </c>
      <c r="D30" s="544">
        <f>+'Statens skalatrin'!H112</f>
        <v>33839.25</v>
      </c>
      <c r="E30" s="544">
        <f>+'Statens skalatrin'!J112</f>
        <v>34088</v>
      </c>
      <c r="F30" s="544">
        <f>+'Statens skalatrin'!L112</f>
        <v>34260.080000000002</v>
      </c>
      <c r="G30" s="545">
        <f>+'Statens skalatrin'!O112</f>
        <v>32890.21</v>
      </c>
      <c r="H30" s="545">
        <f t="shared" si="0"/>
        <v>4834.8599999999997</v>
      </c>
    </row>
    <row r="31" spans="1:8" ht="15.5">
      <c r="A31" s="543">
        <v>37</v>
      </c>
      <c r="B31" s="544">
        <f>+'Statens skalatrin'!D115</f>
        <v>33997.75</v>
      </c>
      <c r="C31" s="544">
        <f>+'Statens skalatrin'!F115</f>
        <v>34210.5</v>
      </c>
      <c r="D31" s="544">
        <f>+'Statens skalatrin'!H115</f>
        <v>34357.58</v>
      </c>
      <c r="E31" s="544">
        <f>+'Statens skalatrin'!J115</f>
        <v>34570.33</v>
      </c>
      <c r="F31" s="544">
        <f>+'Statens skalatrin'!L115</f>
        <v>34717.67</v>
      </c>
      <c r="G31" s="545">
        <f>+'Statens skalatrin'!O115</f>
        <v>33546.080000000002</v>
      </c>
      <c r="H31" s="545">
        <f t="shared" si="0"/>
        <v>4931.2700000000004</v>
      </c>
    </row>
    <row r="32" spans="1:8" ht="15.5">
      <c r="A32" s="899">
        <v>38</v>
      </c>
      <c r="B32" s="545">
        <f>+'Statens skalatrin'!D118</f>
        <v>34609.67</v>
      </c>
      <c r="C32" s="545">
        <f>+'Statens skalatrin'!F118</f>
        <v>34787.67</v>
      </c>
      <c r="D32" s="545">
        <f>+'Statens skalatrin'!H118</f>
        <v>34910.83</v>
      </c>
      <c r="E32" s="545">
        <f>+'Statens skalatrin'!J118</f>
        <v>35088.83</v>
      </c>
      <c r="F32" s="545">
        <f>+'Statens skalatrin'!L118</f>
        <v>35212.25</v>
      </c>
      <c r="G32" s="545">
        <f>+'Statens skalatrin'!O118</f>
        <v>34231.629999999997</v>
      </c>
      <c r="H32" s="545">
        <f t="shared" si="0"/>
        <v>5032.05</v>
      </c>
    </row>
    <row r="33" spans="1:8" ht="15.5">
      <c r="A33" s="952">
        <v>39</v>
      </c>
      <c r="B33" s="545">
        <f>+'Statens skalatrin'!D121</f>
        <v>35227.58</v>
      </c>
      <c r="C33" s="545">
        <f>+'Statens skalatrin'!F121</f>
        <v>35364.75</v>
      </c>
      <c r="D33" s="545">
        <f>+'Statens skalatrin'!H121</f>
        <v>35459.67</v>
      </c>
      <c r="E33" s="545">
        <f>+'Statens skalatrin'!J121</f>
        <v>35596.67</v>
      </c>
      <c r="F33" s="545">
        <f>+'Statens skalatrin'!L121</f>
        <v>35691.67</v>
      </c>
      <c r="G33" s="545">
        <f>+'Statens skalatrin'!O121</f>
        <v>34936.6</v>
      </c>
      <c r="H33" s="545">
        <f t="shared" ref="H33:H34" si="1">ROUND(G33*$H$7,2)</f>
        <v>5135.68</v>
      </c>
    </row>
    <row r="34" spans="1:8" ht="16" thickBot="1">
      <c r="A34" s="900">
        <v>40</v>
      </c>
      <c r="B34" s="545">
        <f>+'Statens skalatrin'!D124</f>
        <v>35859</v>
      </c>
      <c r="C34" s="545">
        <f>+'Statens skalatrin'!F124</f>
        <v>35952.75</v>
      </c>
      <c r="D34" s="545">
        <f>+'Statens skalatrin'!H124</f>
        <v>36017.67</v>
      </c>
      <c r="E34" s="545">
        <f>+'Statens skalatrin'!J124</f>
        <v>36111.42</v>
      </c>
      <c r="F34" s="545">
        <f>+'Statens skalatrin'!L124</f>
        <v>36176.33</v>
      </c>
      <c r="G34" s="545">
        <f>+'Statens skalatrin'!O124</f>
        <v>35659.82</v>
      </c>
      <c r="H34" s="545">
        <f t="shared" si="1"/>
        <v>5241.99</v>
      </c>
    </row>
    <row r="35" spans="1:8" ht="20.5" thickBot="1">
      <c r="A35" s="1669" t="s">
        <v>457</v>
      </c>
      <c r="B35" s="1670"/>
      <c r="C35" s="1670"/>
      <c r="D35" s="1670"/>
      <c r="E35" s="1670"/>
      <c r="F35" s="1671"/>
      <c r="G35" s="1664" t="s">
        <v>375</v>
      </c>
      <c r="H35" s="1665"/>
    </row>
    <row r="36" spans="1:8" ht="26" customHeight="1" thickBot="1">
      <c r="A36" s="1635" t="s">
        <v>455</v>
      </c>
      <c r="B36" s="1636"/>
      <c r="C36" s="1636"/>
      <c r="D36" s="1636"/>
      <c r="E36" s="1636"/>
      <c r="F36" s="1636"/>
      <c r="G36" s="1636"/>
      <c r="H36" s="1637"/>
    </row>
    <row r="37" spans="1:8" ht="26" customHeight="1" thickBot="1">
      <c r="A37" s="497" t="s">
        <v>57</v>
      </c>
      <c r="B37" s="497" t="s">
        <v>75</v>
      </c>
      <c r="C37" s="497" t="s">
        <v>76</v>
      </c>
      <c r="D37" s="497" t="s">
        <v>77</v>
      </c>
      <c r="E37" s="497" t="s">
        <v>78</v>
      </c>
      <c r="F37" s="497" t="s">
        <v>79</v>
      </c>
      <c r="G37" s="497" t="s">
        <v>214</v>
      </c>
      <c r="H37" s="679">
        <v>0.16200000000000001</v>
      </c>
    </row>
    <row r="38" spans="1:8" ht="16.5" customHeight="1">
      <c r="A38" s="604">
        <v>43</v>
      </c>
      <c r="B38" s="546">
        <f>'Statens skalatrin'!D133</f>
        <v>37988.5</v>
      </c>
      <c r="C38" s="546">
        <f>+'Statens skalatrin'!F133</f>
        <v>37988.5</v>
      </c>
      <c r="D38" s="546">
        <f>+'Statens skalatrin'!H133</f>
        <v>37988.5</v>
      </c>
      <c r="E38" s="546">
        <f>+'Statens skalatrin'!J133</f>
        <v>37988.5</v>
      </c>
      <c r="F38" s="546">
        <f>+'Statens skalatrin'!L133</f>
        <v>37988.5</v>
      </c>
      <c r="G38" s="546">
        <f>+'Statens skalatrin'!O133</f>
        <v>37988.42</v>
      </c>
      <c r="H38" s="547">
        <f>ROUND(G38*$H$37,2)</f>
        <v>6154.12</v>
      </c>
    </row>
    <row r="39" spans="1:8" ht="15.5">
      <c r="A39" s="543">
        <v>44</v>
      </c>
      <c r="B39" s="544">
        <f>'Statens skalatrin'!D136</f>
        <v>38836</v>
      </c>
      <c r="C39" s="544">
        <f>+'Statens skalatrin'!F136</f>
        <v>38836</v>
      </c>
      <c r="D39" s="544">
        <f>+'Statens skalatrin'!H136</f>
        <v>38836</v>
      </c>
      <c r="E39" s="544">
        <f>+'Statens skalatrin'!J136</f>
        <v>38836</v>
      </c>
      <c r="F39" s="544">
        <f>+'Statens skalatrin'!L136</f>
        <v>38836</v>
      </c>
      <c r="G39" s="544">
        <f>+'Statens skalatrin'!O136</f>
        <v>38836.050000000003</v>
      </c>
      <c r="H39" s="547">
        <f t="shared" ref="H39:H41" si="2">ROUND(G39*$H$37,2)</f>
        <v>6291.44</v>
      </c>
    </row>
    <row r="40" spans="1:8" ht="15.5">
      <c r="A40" s="543">
        <v>46</v>
      </c>
      <c r="B40" s="544">
        <f>'Statens skalatrin'!D142</f>
        <v>40602.25</v>
      </c>
      <c r="C40" s="544">
        <f>+'Statens skalatrin'!F142</f>
        <v>40602.25</v>
      </c>
      <c r="D40" s="544">
        <f>+'Statens skalatrin'!H142</f>
        <v>40602.25</v>
      </c>
      <c r="E40" s="544">
        <f>+'Statens skalatrin'!J142</f>
        <v>40602.25</v>
      </c>
      <c r="F40" s="544">
        <f>+'Statens skalatrin'!L142</f>
        <v>40602.25</v>
      </c>
      <c r="G40" s="544">
        <f>+'Statens skalatrin'!O142</f>
        <v>40602.199999999997</v>
      </c>
      <c r="H40" s="547">
        <f t="shared" si="2"/>
        <v>6577.56</v>
      </c>
    </row>
    <row r="41" spans="1:8" ht="16" thickBot="1">
      <c r="A41" s="548">
        <v>48</v>
      </c>
      <c r="B41" s="678">
        <f>'Statens skalatrin'!D148</f>
        <v>45319</v>
      </c>
      <c r="C41" s="678">
        <f>+'Statens skalatrin'!F148</f>
        <v>45319</v>
      </c>
      <c r="D41" s="678">
        <f>+'Statens skalatrin'!H148</f>
        <v>45319</v>
      </c>
      <c r="E41" s="678">
        <f>+'Statens skalatrin'!J148</f>
        <v>45319</v>
      </c>
      <c r="F41" s="678">
        <f>+'Statens skalatrin'!L148</f>
        <v>45319</v>
      </c>
      <c r="G41" s="678">
        <f>+'Statens skalatrin'!O148</f>
        <v>45318.89</v>
      </c>
      <c r="H41" s="547">
        <f t="shared" si="2"/>
        <v>7341.66</v>
      </c>
    </row>
    <row r="42" spans="1:8" ht="15" customHeight="1" thickBot="1">
      <c r="A42" s="1651"/>
      <c r="B42" s="1651"/>
      <c r="C42" s="1651"/>
      <c r="D42" s="1651"/>
      <c r="E42" s="1651"/>
      <c r="F42" s="1651"/>
      <c r="G42" s="1651"/>
      <c r="H42" s="1651"/>
    </row>
    <row r="43" spans="1:8" ht="18">
      <c r="A43" s="1078" t="s">
        <v>454</v>
      </c>
      <c r="B43" s="1079"/>
      <c r="C43" s="1079"/>
      <c r="D43" s="1079"/>
      <c r="E43" s="1079"/>
      <c r="F43" s="1079"/>
      <c r="G43" s="1079"/>
      <c r="H43" s="1080"/>
    </row>
    <row r="44" spans="1:8" ht="26" customHeight="1" thickBot="1">
      <c r="A44" s="1589" t="s">
        <v>288</v>
      </c>
      <c r="B44" s="1590"/>
      <c r="C44" s="1590"/>
      <c r="D44" s="1590"/>
      <c r="E44" s="1590"/>
      <c r="F44" s="1590"/>
      <c r="G44" s="1590"/>
      <c r="H44" s="1591"/>
    </row>
    <row r="45" spans="1:8" ht="26" customHeight="1">
      <c r="A45" s="933"/>
      <c r="B45" s="934"/>
      <c r="C45" s="935"/>
      <c r="D45" s="1673" t="s">
        <v>131</v>
      </c>
      <c r="E45" s="1674"/>
      <c r="F45" s="1673" t="s">
        <v>310</v>
      </c>
      <c r="G45" s="1674"/>
      <c r="H45" s="632" t="s">
        <v>257</v>
      </c>
    </row>
    <row r="46" spans="1:8" ht="15.75" customHeight="1" thickBot="1">
      <c r="A46" s="936"/>
      <c r="B46" s="937"/>
      <c r="C46" s="938"/>
      <c r="D46" s="1675">
        <v>40999</v>
      </c>
      <c r="E46" s="1676"/>
      <c r="F46" s="1675" t="str">
        <f>'Løntabel gældende fra'!D1</f>
        <v>01-04-2025</v>
      </c>
      <c r="G46" s="1676"/>
      <c r="H46" s="533" t="str">
        <f>'Løntabel gældende fra'!$D$1</f>
        <v>01-04-2025</v>
      </c>
    </row>
    <row r="47" spans="1:8" ht="15" customHeight="1">
      <c r="A47" s="1571" t="s">
        <v>511</v>
      </c>
      <c r="B47" s="1572"/>
      <c r="C47" s="1573"/>
      <c r="D47" s="1566">
        <v>4500</v>
      </c>
      <c r="E47" s="1567"/>
      <c r="F47" s="1652">
        <f>ROUND(+D47*(1+'Løntabel gældende fra'!$D$7/100),2)</f>
        <v>5548.93</v>
      </c>
      <c r="G47" s="1653">
        <f>+E47*(1+'Løntabel gældende fra'!$D$7/100)</f>
        <v>0</v>
      </c>
      <c r="H47" s="939">
        <f>ROUND(F47/12,2)</f>
        <v>462.41</v>
      </c>
    </row>
    <row r="48" spans="1:8" ht="15" customHeight="1" thickBot="1">
      <c r="A48" s="1568" t="s">
        <v>517</v>
      </c>
      <c r="B48" s="1569"/>
      <c r="C48" s="1570"/>
      <c r="D48" s="1577">
        <v>4398</v>
      </c>
      <c r="E48" s="1578"/>
      <c r="F48" s="1657">
        <f>ROUND(+D48*(1+'Løntabel gældende fra'!$D$7/100),2)</f>
        <v>5423.15</v>
      </c>
      <c r="G48" s="1658">
        <f>+E48*(1+'Løntabel gældende fra'!$D$7/100)</f>
        <v>0</v>
      </c>
      <c r="H48" s="940">
        <f>ROUND(F48/12,2)</f>
        <v>451.93</v>
      </c>
    </row>
    <row r="49" spans="1:8" ht="15" customHeight="1" thickBot="1">
      <c r="A49" s="1681"/>
      <c r="B49" s="1682"/>
      <c r="C49" s="1682"/>
      <c r="D49" s="1682"/>
      <c r="E49" s="1682"/>
      <c r="F49" s="1682"/>
      <c r="G49" s="1682"/>
      <c r="H49" s="1683"/>
    </row>
    <row r="50" spans="1:8" ht="18">
      <c r="A50" s="1078" t="s">
        <v>512</v>
      </c>
      <c r="B50" s="1079"/>
      <c r="C50" s="1079"/>
      <c r="D50" s="1079"/>
      <c r="E50" s="1079"/>
      <c r="F50" s="1079"/>
      <c r="G50" s="1079"/>
      <c r="H50" s="1080"/>
    </row>
    <row r="51" spans="1:8" ht="26" customHeight="1" thickBot="1">
      <c r="A51" s="1589" t="s">
        <v>288</v>
      </c>
      <c r="B51" s="1590"/>
      <c r="C51" s="1590"/>
      <c r="D51" s="1590"/>
      <c r="E51" s="1590"/>
      <c r="F51" s="1590"/>
      <c r="G51" s="1590"/>
      <c r="H51" s="1591"/>
    </row>
    <row r="52" spans="1:8" ht="26" customHeight="1">
      <c r="A52" s="933"/>
      <c r="B52" s="934"/>
      <c r="C52" s="935"/>
      <c r="D52" s="1585" t="s">
        <v>131</v>
      </c>
      <c r="E52" s="1586"/>
      <c r="F52" s="1585" t="s">
        <v>310</v>
      </c>
      <c r="G52" s="1586"/>
      <c r="H52" s="632" t="s">
        <v>257</v>
      </c>
    </row>
    <row r="53" spans="1:8" ht="15.75" customHeight="1" thickBot="1">
      <c r="A53" s="936"/>
      <c r="B53" s="937"/>
      <c r="C53" s="938"/>
      <c r="D53" s="1601">
        <v>40999</v>
      </c>
      <c r="E53" s="1602"/>
      <c r="F53" s="1656" t="str">
        <f>'Løntabel gældende fra'!D1</f>
        <v>01-04-2025</v>
      </c>
      <c r="G53" s="1602"/>
      <c r="H53" s="533" t="str">
        <f>'Løntabel gældende fra'!$D$1</f>
        <v>01-04-2025</v>
      </c>
    </row>
    <row r="54" spans="1:8" ht="15" customHeight="1">
      <c r="A54" s="1571" t="s">
        <v>511</v>
      </c>
      <c r="B54" s="1572"/>
      <c r="C54" s="1573"/>
      <c r="D54" s="1654">
        <v>2000</v>
      </c>
      <c r="E54" s="1655"/>
      <c r="F54" s="1654">
        <f>ROUND(+D54*(1+'Løntabel gældende fra'!$D$7/100),2)</f>
        <v>2466.19</v>
      </c>
      <c r="G54" s="1655"/>
      <c r="H54" s="939">
        <f>ROUND(F54/12,2)</f>
        <v>205.52</v>
      </c>
    </row>
    <row r="55" spans="1:8" ht="15" customHeight="1" thickBot="1">
      <c r="A55" s="1574" t="s">
        <v>516</v>
      </c>
      <c r="B55" s="1575"/>
      <c r="C55" s="1576"/>
      <c r="D55" s="1577">
        <v>8018</v>
      </c>
      <c r="E55" s="1578"/>
      <c r="F55" s="1657">
        <f>ROUND(+D55*(1+'Løntabel gældende fra'!$D$7/100),2)</f>
        <v>9886.9599999999991</v>
      </c>
      <c r="G55" s="1658">
        <f>+E55*(1+'Løntabel gældende fra'!$D$7/100)</f>
        <v>0</v>
      </c>
      <c r="H55" s="940">
        <f>ROUND(F55/12,2)</f>
        <v>823.91</v>
      </c>
    </row>
    <row r="56" spans="1:8" ht="15" customHeight="1" thickBot="1">
      <c r="A56" s="1005"/>
      <c r="B56" s="1005"/>
      <c r="C56" s="1005"/>
      <c r="D56" s="1005"/>
      <c r="E56" s="1005"/>
      <c r="F56" s="1005"/>
      <c r="G56" s="1005"/>
      <c r="H56" s="1005"/>
    </row>
    <row r="57" spans="1:8" ht="18">
      <c r="A57" s="1078" t="s">
        <v>527</v>
      </c>
      <c r="B57" s="1079"/>
      <c r="C57" s="1079"/>
      <c r="D57" s="1079"/>
      <c r="E57" s="1079"/>
      <c r="F57" s="1079"/>
      <c r="G57" s="1079"/>
      <c r="H57" s="1080"/>
    </row>
    <row r="58" spans="1:8" ht="26" customHeight="1" thickBot="1">
      <c r="A58" s="1589" t="s">
        <v>288</v>
      </c>
      <c r="B58" s="1590"/>
      <c r="C58" s="1590"/>
      <c r="D58" s="1590"/>
      <c r="E58" s="1590"/>
      <c r="F58" s="1590"/>
      <c r="G58" s="1590"/>
      <c r="H58" s="1591"/>
    </row>
    <row r="59" spans="1:8" ht="26" customHeight="1">
      <c r="A59" s="1592" t="s">
        <v>513</v>
      </c>
      <c r="B59" s="1593"/>
      <c r="C59" s="1594"/>
      <c r="D59" s="1585" t="s">
        <v>131</v>
      </c>
      <c r="E59" s="1586"/>
      <c r="F59" s="1585" t="s">
        <v>310</v>
      </c>
      <c r="G59" s="1586"/>
      <c r="H59" s="632" t="s">
        <v>257</v>
      </c>
    </row>
    <row r="60" spans="1:8" ht="15.75" customHeight="1" thickBot="1">
      <c r="A60" s="1595"/>
      <c r="B60" s="1596"/>
      <c r="C60" s="1597"/>
      <c r="D60" s="1601">
        <v>40999</v>
      </c>
      <c r="E60" s="1602"/>
      <c r="F60" s="1656" t="s">
        <v>524</v>
      </c>
      <c r="G60" s="1602"/>
      <c r="H60" s="533" t="str">
        <f>'Løntabel gældende fra'!$D$1</f>
        <v>01-04-2025</v>
      </c>
    </row>
    <row r="61" spans="1:8" ht="15" customHeight="1" thickBot="1">
      <c r="A61" s="1598"/>
      <c r="B61" s="1599"/>
      <c r="C61" s="1600"/>
      <c r="D61" s="1603">
        <v>5500</v>
      </c>
      <c r="E61" s="1604"/>
      <c r="F61" s="1603">
        <f>ROUND(+D61*(1+'Løntabel gældende fra'!$D$7/100),2)</f>
        <v>6782.02</v>
      </c>
      <c r="G61" s="1604"/>
      <c r="H61" s="633">
        <f>ROUND(F61/12,2)</f>
        <v>565.16999999999996</v>
      </c>
    </row>
    <row r="62" spans="1:8" ht="15" customHeight="1" thickBot="1">
      <c r="A62" s="1005"/>
      <c r="B62" s="1005"/>
      <c r="C62" s="1005"/>
      <c r="D62" s="1005"/>
      <c r="E62" s="1005"/>
      <c r="F62" s="1005"/>
      <c r="G62" s="1005"/>
      <c r="H62" s="1005"/>
    </row>
    <row r="63" spans="1:8" ht="18">
      <c r="A63" s="1078" t="s">
        <v>528</v>
      </c>
      <c r="B63" s="1079"/>
      <c r="C63" s="1079"/>
      <c r="D63" s="1079"/>
      <c r="E63" s="1079"/>
      <c r="F63" s="1079"/>
      <c r="G63" s="1079"/>
      <c r="H63" s="1080"/>
    </row>
    <row r="64" spans="1:8" ht="26" customHeight="1" thickBot="1">
      <c r="A64" s="1589" t="s">
        <v>288</v>
      </c>
      <c r="B64" s="1590"/>
      <c r="C64" s="1590"/>
      <c r="D64" s="1590"/>
      <c r="E64" s="1590"/>
      <c r="F64" s="1590"/>
      <c r="G64" s="1590"/>
      <c r="H64" s="1591"/>
    </row>
    <row r="65" spans="1:8" ht="26" customHeight="1">
      <c r="A65" s="1592" t="s">
        <v>513</v>
      </c>
      <c r="B65" s="1593"/>
      <c r="C65" s="1594"/>
      <c r="D65" s="1585" t="s">
        <v>131</v>
      </c>
      <c r="E65" s="1586"/>
      <c r="F65" s="1585" t="s">
        <v>310</v>
      </c>
      <c r="G65" s="1586"/>
      <c r="H65" s="632" t="s">
        <v>257</v>
      </c>
    </row>
    <row r="66" spans="1:8" ht="15.75" customHeight="1" thickBot="1">
      <c r="A66" s="1595"/>
      <c r="B66" s="1596"/>
      <c r="C66" s="1597"/>
      <c r="D66" s="1601">
        <v>40999</v>
      </c>
      <c r="E66" s="1602"/>
      <c r="F66" s="1659" t="s">
        <v>524</v>
      </c>
      <c r="G66" s="1660"/>
      <c r="H66" s="533" t="str">
        <f>'Løntabel gældende fra'!$D$1</f>
        <v>01-04-2025</v>
      </c>
    </row>
    <row r="67" spans="1:8" ht="15" customHeight="1" thickBot="1">
      <c r="A67" s="1598"/>
      <c r="B67" s="1599"/>
      <c r="C67" s="1600"/>
      <c r="D67" s="1603">
        <v>4000</v>
      </c>
      <c r="E67" s="1604"/>
      <c r="F67" s="1603">
        <f>ROUND(+D67*(1+'Løntabel gældende fra'!$D$7/100),2)</f>
        <v>4932.38</v>
      </c>
      <c r="G67" s="1604"/>
      <c r="H67" s="633">
        <f>ROUND(F67/12,2)</f>
        <v>411.03</v>
      </c>
    </row>
    <row r="68" spans="1:8" ht="15" customHeight="1" thickBot="1">
      <c r="A68" s="1005"/>
      <c r="B68" s="1005"/>
      <c r="C68" s="1005"/>
      <c r="D68" s="1005"/>
      <c r="E68" s="1005"/>
      <c r="F68" s="1005"/>
      <c r="G68" s="1005"/>
      <c r="H68" s="1005"/>
    </row>
    <row r="69" spans="1:8" ht="18">
      <c r="A69" s="1078" t="s">
        <v>206</v>
      </c>
      <c r="B69" s="1079"/>
      <c r="C69" s="1079"/>
      <c r="D69" s="1079"/>
      <c r="E69" s="1079"/>
      <c r="F69" s="1079"/>
      <c r="G69" s="1079"/>
      <c r="H69" s="1080"/>
    </row>
    <row r="70" spans="1:8" ht="20" customHeight="1" thickBot="1">
      <c r="A70" s="1158" t="s">
        <v>318</v>
      </c>
      <c r="B70" s="1159"/>
      <c r="C70" s="1159"/>
      <c r="D70" s="1159"/>
      <c r="E70" s="1159"/>
      <c r="F70" s="1159"/>
      <c r="G70" s="1159"/>
      <c r="H70" s="1160"/>
    </row>
    <row r="71" spans="1:8" ht="26" customHeight="1">
      <c r="A71" s="933"/>
      <c r="B71" s="934"/>
      <c r="C71" s="934"/>
      <c r="D71" s="1585" t="s">
        <v>131</v>
      </c>
      <c r="E71" s="1586"/>
      <c r="F71" s="1585" t="s">
        <v>310</v>
      </c>
      <c r="G71" s="1586"/>
      <c r="H71" s="632" t="s">
        <v>257</v>
      </c>
    </row>
    <row r="72" spans="1:8" ht="15" customHeight="1" thickBot="1">
      <c r="A72" s="941"/>
      <c r="B72" s="942"/>
      <c r="C72" s="942"/>
      <c r="D72" s="1601">
        <v>40999</v>
      </c>
      <c r="E72" s="1602"/>
      <c r="F72" s="1656" t="str">
        <f>'Løntabel gældende fra'!D1</f>
        <v>01-04-2025</v>
      </c>
      <c r="G72" s="1602"/>
      <c r="H72" s="533" t="str">
        <f>'Løntabel gældende fra'!$D$1</f>
        <v>01-04-2025</v>
      </c>
    </row>
    <row r="73" spans="1:8" ht="15" customHeight="1">
      <c r="A73" s="1579" t="s">
        <v>293</v>
      </c>
      <c r="B73" s="1580"/>
      <c r="C73" s="1581"/>
      <c r="D73" s="1633">
        <v>6480</v>
      </c>
      <c r="E73" s="1634"/>
      <c r="F73" s="1633">
        <f>ROUND(+D73*(1+'Løntabel gældende fra'!$D$7/100),2)</f>
        <v>7990.46</v>
      </c>
      <c r="G73" s="1634"/>
      <c r="H73" s="943">
        <f>ROUND(F73/12,2)</f>
        <v>665.87</v>
      </c>
    </row>
    <row r="74" spans="1:8" ht="15" customHeight="1">
      <c r="A74" s="1582" t="s">
        <v>461</v>
      </c>
      <c r="B74" s="1583"/>
      <c r="C74" s="1584"/>
      <c r="D74" s="1587">
        <v>6480</v>
      </c>
      <c r="E74" s="1588"/>
      <c r="F74" s="1587">
        <f>ROUND(+D74*(1+'Løntabel gældende fra'!$D$7/100),2)</f>
        <v>7990.46</v>
      </c>
      <c r="G74" s="1588"/>
      <c r="H74" s="944">
        <f>ROUND(F74/12,2)</f>
        <v>665.87</v>
      </c>
    </row>
    <row r="75" spans="1:8" ht="33" customHeight="1">
      <c r="A75" s="1582" t="s">
        <v>514</v>
      </c>
      <c r="B75" s="1583"/>
      <c r="C75" s="1584"/>
      <c r="D75" s="1587">
        <v>3240</v>
      </c>
      <c r="E75" s="1588"/>
      <c r="F75" s="1587">
        <f>ROUND(+D75*(1+'Løntabel gældende fra'!$D$7/100),2)</f>
        <v>3995.23</v>
      </c>
      <c r="G75" s="1588"/>
      <c r="H75" s="944">
        <f>ROUND(F75/12,2)</f>
        <v>332.94</v>
      </c>
    </row>
    <row r="76" spans="1:8" ht="34" customHeight="1" thickBot="1">
      <c r="A76" s="1694" t="s">
        <v>510</v>
      </c>
      <c r="B76" s="1695"/>
      <c r="C76" s="1696"/>
      <c r="D76" s="1577">
        <v>8000</v>
      </c>
      <c r="E76" s="1578"/>
      <c r="F76" s="1577">
        <f>ROUND(+D76*(1+'Løntabel gældende fra'!$D$7/100),2)</f>
        <v>9864.76</v>
      </c>
      <c r="G76" s="1578"/>
      <c r="H76" s="940">
        <f>ROUND(F76/12,2)</f>
        <v>822.06</v>
      </c>
    </row>
    <row r="77" spans="1:8" ht="20" customHeight="1" thickBot="1">
      <c r="A77" s="260"/>
      <c r="B77" s="260"/>
      <c r="C77" s="260"/>
      <c r="D77" s="260"/>
      <c r="E77" s="260"/>
      <c r="F77" s="248"/>
      <c r="G77" s="248"/>
      <c r="H77" s="624"/>
    </row>
    <row r="78" spans="1:8" ht="27" customHeight="1">
      <c r="A78" s="1078" t="s">
        <v>286</v>
      </c>
      <c r="B78" s="1079"/>
      <c r="C78" s="1079"/>
      <c r="D78" s="1079"/>
      <c r="E78" s="1079"/>
      <c r="F78" s="1079"/>
      <c r="G78" s="1079"/>
      <c r="H78" s="1080"/>
    </row>
    <row r="79" spans="1:8" ht="20" customHeight="1" thickBot="1">
      <c r="A79" s="1158" t="s">
        <v>284</v>
      </c>
      <c r="B79" s="1159"/>
      <c r="C79" s="1159"/>
      <c r="D79" s="1159"/>
      <c r="E79" s="1159"/>
      <c r="F79" s="1159"/>
      <c r="G79" s="1159"/>
      <c r="H79" s="1160"/>
    </row>
    <row r="80" spans="1:8" ht="20" customHeight="1">
      <c r="A80" s="629"/>
      <c r="B80" s="630"/>
      <c r="C80" s="630"/>
      <c r="D80" s="630"/>
      <c r="E80" s="630"/>
      <c r="F80" s="630"/>
      <c r="G80" s="632" t="s">
        <v>98</v>
      </c>
      <c r="H80" s="631" t="s">
        <v>103</v>
      </c>
    </row>
    <row r="81" spans="1:8" ht="15" customHeight="1" thickBot="1">
      <c r="A81" s="627"/>
      <c r="B81" s="628"/>
      <c r="C81" s="628"/>
      <c r="D81" s="628"/>
      <c r="E81" s="628"/>
      <c r="F81" s="628"/>
      <c r="G81" s="533">
        <v>40999</v>
      </c>
      <c r="H81" s="549" t="str">
        <f>'Løntabel gældende fra'!$D$1</f>
        <v>01-04-2025</v>
      </c>
    </row>
    <row r="82" spans="1:8" s="229" customFormat="1" ht="15.75" customHeight="1">
      <c r="A82" s="1690" t="s">
        <v>201</v>
      </c>
      <c r="B82" s="1691"/>
      <c r="C82" s="1691"/>
      <c r="D82" s="1691"/>
      <c r="E82" s="1691"/>
      <c r="F82" s="893" t="s">
        <v>165</v>
      </c>
      <c r="G82" s="894">
        <v>22.32</v>
      </c>
      <c r="H82" s="895">
        <f>ROUND(G82+G82*'Løntabel gældende fra'!$D$7%,2)</f>
        <v>27.52</v>
      </c>
    </row>
    <row r="83" spans="1:8" ht="16.5" customHeight="1">
      <c r="A83" s="1647" t="s">
        <v>449</v>
      </c>
      <c r="B83" s="1648"/>
      <c r="C83" s="1648"/>
      <c r="D83" s="1648"/>
      <c r="E83" s="1648"/>
      <c r="F83" s="1596" t="s">
        <v>165</v>
      </c>
      <c r="G83" s="1645">
        <v>39.92</v>
      </c>
      <c r="H83" s="1638">
        <f>ROUND(G83+G83*'Løntabel gældende fra'!$D$7%,2)</f>
        <v>49.23</v>
      </c>
    </row>
    <row r="84" spans="1:8" ht="32.4" customHeight="1">
      <c r="A84" s="1649"/>
      <c r="B84" s="1650"/>
      <c r="C84" s="1650"/>
      <c r="D84" s="1650"/>
      <c r="E84" s="1650"/>
      <c r="F84" s="1572"/>
      <c r="G84" s="1646"/>
      <c r="H84" s="1639"/>
    </row>
    <row r="85" spans="1:8" s="229" customFormat="1" ht="15.5">
      <c r="A85" s="1686" t="s">
        <v>164</v>
      </c>
      <c r="B85" s="1687"/>
      <c r="C85" s="1687"/>
      <c r="D85" s="1687"/>
      <c r="E85" s="1687"/>
      <c r="F85" s="625" t="s">
        <v>165</v>
      </c>
      <c r="G85" s="532">
        <v>39.92</v>
      </c>
      <c r="H85" s="551">
        <f>ROUND(G85+G85*'Løntabel gældende fra'!$D$7%,2)</f>
        <v>49.23</v>
      </c>
    </row>
    <row r="86" spans="1:8" ht="16" customHeight="1">
      <c r="A86" s="1692" t="s">
        <v>219</v>
      </c>
      <c r="B86" s="1693"/>
      <c r="C86" s="1693"/>
      <c r="D86" s="1693"/>
      <c r="E86" s="1693"/>
      <c r="F86" s="623" t="s">
        <v>165</v>
      </c>
      <c r="G86" s="532">
        <v>39.92</v>
      </c>
      <c r="H86" s="551">
        <f>ROUND(G86+G86*'Løntabel gældende fra'!$D$7%,2)</f>
        <v>49.23</v>
      </c>
    </row>
    <row r="87" spans="1:8" ht="15.5">
      <c r="A87" s="1686" t="s">
        <v>376</v>
      </c>
      <c r="B87" s="1687"/>
      <c r="C87" s="1687"/>
      <c r="D87" s="1687"/>
      <c r="E87" s="1687"/>
      <c r="F87" s="625" t="s">
        <v>166</v>
      </c>
      <c r="G87" s="532">
        <v>39.92</v>
      </c>
      <c r="H87" s="551">
        <f>ROUND(G87+G87*'Løntabel gældende fra'!$D$7%,2)</f>
        <v>49.23</v>
      </c>
    </row>
    <row r="88" spans="1:8" ht="15.5">
      <c r="A88" s="1686" t="s">
        <v>377</v>
      </c>
      <c r="B88" s="1687"/>
      <c r="C88" s="1687"/>
      <c r="D88" s="1687"/>
      <c r="E88" s="1687"/>
      <c r="F88" s="625" t="s">
        <v>166</v>
      </c>
      <c r="G88" s="532">
        <v>91.84</v>
      </c>
      <c r="H88" s="551">
        <f>ROUND(G88+G88*'Løntabel gældende fra'!$D$7%,2)</f>
        <v>113.25</v>
      </c>
    </row>
    <row r="89" spans="1:8" ht="16" thickBot="1">
      <c r="A89" s="1688" t="s">
        <v>378</v>
      </c>
      <c r="B89" s="1689"/>
      <c r="C89" s="1689"/>
      <c r="D89" s="1689"/>
      <c r="E89" s="1689"/>
      <c r="F89" s="626" t="s">
        <v>165</v>
      </c>
      <c r="G89" s="531">
        <v>39.92</v>
      </c>
      <c r="H89" s="550">
        <f>ROUND(G89+G89*'Løntabel gældende fra'!$D$7%,2)</f>
        <v>49.23</v>
      </c>
    </row>
    <row r="90" spans="1:8" ht="14.5" thickBot="1">
      <c r="A90" s="260"/>
      <c r="B90" s="260"/>
      <c r="C90" s="260"/>
      <c r="D90" s="260"/>
      <c r="E90" s="260"/>
      <c r="F90" s="248"/>
      <c r="G90" s="248"/>
    </row>
    <row r="91" spans="1:8" ht="27" customHeight="1" thickBot="1">
      <c r="A91" s="1677" t="s">
        <v>422</v>
      </c>
      <c r="B91" s="1678"/>
      <c r="C91" s="1678"/>
      <c r="D91" s="1678"/>
      <c r="E91" s="1678"/>
      <c r="F91" s="1678"/>
      <c r="G91" s="1678"/>
      <c r="H91" s="1679"/>
    </row>
    <row r="92" spans="1:8" ht="15.5">
      <c r="A92" s="1627" t="s">
        <v>162</v>
      </c>
      <c r="B92" s="1628"/>
      <c r="C92" s="1628"/>
      <c r="D92" s="1629"/>
      <c r="E92" s="1680" t="s">
        <v>311</v>
      </c>
      <c r="F92" s="1680"/>
      <c r="G92" s="1609" t="s">
        <v>312</v>
      </c>
      <c r="H92" s="1610"/>
    </row>
    <row r="93" spans="1:8" ht="13" customHeight="1" thickBot="1">
      <c r="A93" s="1630"/>
      <c r="B93" s="1631"/>
      <c r="C93" s="1631"/>
      <c r="D93" s="1632"/>
      <c r="E93" s="1616">
        <v>40999</v>
      </c>
      <c r="F93" s="1617"/>
      <c r="G93" s="1607" t="str">
        <f>'Løntabel gældende fra'!$D$1</f>
        <v>01-04-2025</v>
      </c>
      <c r="H93" s="1608"/>
    </row>
    <row r="94" spans="1:8" ht="15" customHeight="1">
      <c r="A94" s="1624" t="s">
        <v>441</v>
      </c>
      <c r="B94" s="1625"/>
      <c r="C94" s="1625"/>
      <c r="D94" s="1626"/>
      <c r="E94" s="1614">
        <v>138.5</v>
      </c>
      <c r="F94" s="1615"/>
      <c r="G94" s="1614">
        <f>ROUND(+E94*(1+'Løntabel gældende fra'!$D$7/100),2)</f>
        <v>170.78</v>
      </c>
      <c r="H94" s="1615"/>
    </row>
    <row r="95" spans="1:8" ht="15" customHeight="1">
      <c r="A95" s="955" t="s">
        <v>442</v>
      </c>
      <c r="B95" s="956"/>
      <c r="C95" s="956"/>
      <c r="D95" s="957"/>
      <c r="E95" s="1684">
        <v>164</v>
      </c>
      <c r="F95" s="1685"/>
      <c r="G95" s="1684">
        <f>ROUND(+E95*(1+'Løntabel gældende fra'!$D$7/100),2)</f>
        <v>202.23</v>
      </c>
      <c r="H95" s="1685"/>
    </row>
    <row r="96" spans="1:8" ht="16" thickBot="1">
      <c r="A96" s="1618" t="s">
        <v>230</v>
      </c>
      <c r="B96" s="1619"/>
      <c r="C96" s="1619"/>
      <c r="D96" s="1620"/>
      <c r="E96" s="1605">
        <v>185</v>
      </c>
      <c r="F96" s="1606"/>
      <c r="G96" s="1605">
        <f>ROUND(+E96*(1+'Løntabel gældende fra'!$D$7/100),2)</f>
        <v>228.12</v>
      </c>
      <c r="H96" s="1606"/>
    </row>
    <row r="97" spans="1:8" ht="14.5" thickBot="1">
      <c r="A97" s="40"/>
      <c r="B97" s="40"/>
      <c r="C97" s="40"/>
      <c r="D97" s="222"/>
      <c r="E97" s="222"/>
      <c r="F97" s="222"/>
      <c r="G97" s="222"/>
    </row>
    <row r="98" spans="1:8" ht="18.5" thickBot="1">
      <c r="A98" s="1611" t="str">
        <f>"Unge under 18 år, pr. arbejdstime (60 minutter) pr. "&amp;'Løntabel gældende fra'!D1&amp;""</f>
        <v>Unge under 18 år, pr. arbejdstime (60 minutter) pr. 01-04-2025</v>
      </c>
      <c r="B98" s="1612"/>
      <c r="C98" s="1612"/>
      <c r="D98" s="1612"/>
      <c r="E98" s="1612"/>
      <c r="F98" s="1613"/>
    </row>
    <row r="99" spans="1:8" ht="19" customHeight="1" thickBot="1">
      <c r="A99" s="552" t="s">
        <v>157</v>
      </c>
      <c r="B99" s="553" t="s">
        <v>75</v>
      </c>
      <c r="C99" s="553" t="s">
        <v>76</v>
      </c>
      <c r="D99" s="553" t="s">
        <v>77</v>
      </c>
      <c r="E99" s="553" t="s">
        <v>78</v>
      </c>
      <c r="F99" s="554" t="s">
        <v>79</v>
      </c>
    </row>
    <row r="100" spans="1:8" ht="15.5">
      <c r="A100" s="604" t="s">
        <v>158</v>
      </c>
      <c r="B100" s="555">
        <f>0.66*B10/160.33</f>
        <v>99.297088504958509</v>
      </c>
      <c r="C100" s="556">
        <f>0.66*C10/160.33</f>
        <v>101.40474147071664</v>
      </c>
      <c r="D100" s="556">
        <f>0.66*D10/160.33</f>
        <v>102.86404415892223</v>
      </c>
      <c r="E100" s="556">
        <f>0.66*E10/160.33</f>
        <v>104.97099731803155</v>
      </c>
      <c r="F100" s="557">
        <f>0.66*F10/160.33</f>
        <v>106.43030000623713</v>
      </c>
    </row>
    <row r="101" spans="1:8" ht="16" thickBot="1">
      <c r="A101" s="548" t="s">
        <v>159</v>
      </c>
      <c r="B101" s="558">
        <f>0.74*B10/160.33</f>
        <v>111.33309923283227</v>
      </c>
      <c r="C101" s="559">
        <f>0.74*C10/160.33</f>
        <v>113.69622528534896</v>
      </c>
      <c r="D101" s="559">
        <f>0.74*D10/160.33</f>
        <v>115.33241314788246</v>
      </c>
      <c r="E101" s="559">
        <f>0.74*E10/160.33</f>
        <v>117.69475456870204</v>
      </c>
      <c r="F101" s="560">
        <f>0.74*F10/160.33</f>
        <v>119.33094243123556</v>
      </c>
    </row>
    <row r="102" spans="1:8" ht="14.5" thickBot="1">
      <c r="A102" s="230"/>
      <c r="B102" s="231"/>
      <c r="C102" s="231"/>
      <c r="D102" s="231"/>
      <c r="E102" s="231"/>
      <c r="F102" s="231"/>
    </row>
    <row r="103" spans="1:8" ht="16.5" customHeight="1" thickBot="1">
      <c r="A103" s="1677" t="s">
        <v>160</v>
      </c>
      <c r="B103" s="1678"/>
      <c r="C103" s="1678"/>
      <c r="D103" s="1678"/>
      <c r="E103" s="1678"/>
      <c r="F103" s="1678"/>
      <c r="G103" s="1679"/>
    </row>
    <row r="104" spans="1:8" ht="18.75" customHeight="1">
      <c r="A104" s="1627" t="s">
        <v>161</v>
      </c>
      <c r="B104" s="1628"/>
      <c r="C104" s="1629"/>
      <c r="D104" s="1609" t="s">
        <v>101</v>
      </c>
      <c r="E104" s="1610"/>
      <c r="F104" s="1609" t="s">
        <v>257</v>
      </c>
      <c r="G104" s="1610"/>
    </row>
    <row r="105" spans="1:8" ht="16" thickBot="1">
      <c r="A105" s="1630"/>
      <c r="B105" s="1631"/>
      <c r="C105" s="1632"/>
      <c r="D105" s="1607">
        <v>40999</v>
      </c>
      <c r="E105" s="1623"/>
      <c r="F105" s="1607" t="str">
        <f>'Løntabel gældende fra'!$D$1</f>
        <v>01-04-2025</v>
      </c>
      <c r="G105" s="1608"/>
    </row>
    <row r="106" spans="1:8" ht="15.5">
      <c r="A106" s="1624" t="s">
        <v>553</v>
      </c>
      <c r="B106" s="1625"/>
      <c r="C106" s="1626"/>
      <c r="D106" s="1672">
        <v>11049</v>
      </c>
      <c r="E106" s="1615"/>
      <c r="F106" s="1614">
        <f>ROUND(+D106*(1+'Løntabel gældende fra'!$D$7/100),2)</f>
        <v>13624.47</v>
      </c>
      <c r="G106" s="1615">
        <f>+E106*(1+'Løntabel gældende fra'!$D$7/100)</f>
        <v>0</v>
      </c>
    </row>
    <row r="107" spans="1:8" ht="16" thickBot="1">
      <c r="A107" s="1618" t="s">
        <v>552</v>
      </c>
      <c r="B107" s="1619"/>
      <c r="C107" s="1620"/>
      <c r="D107" s="1621">
        <v>11384</v>
      </c>
      <c r="E107" s="1622"/>
      <c r="F107" s="1605">
        <f>ROUND(+D107*(1+'Løntabel gældende fra'!$D$7/100),2)</f>
        <v>14037.55</v>
      </c>
      <c r="G107" s="1606">
        <f>+E107*(1+'Løntabel gældende fra'!$D$7/100)</f>
        <v>0</v>
      </c>
    </row>
    <row r="108" spans="1:8" ht="15.5">
      <c r="A108" s="561"/>
      <c r="B108" s="562"/>
      <c r="C108" s="562"/>
      <c r="D108" s="562"/>
      <c r="E108" s="562"/>
      <c r="F108" s="562"/>
      <c r="G108" s="563"/>
      <c r="H108" s="228"/>
    </row>
    <row r="109" spans="1:8">
      <c r="F109" s="228"/>
    </row>
    <row r="110" spans="1:8">
      <c r="A110" s="237"/>
      <c r="B110" s="237"/>
      <c r="C110" s="237"/>
      <c r="H110" s="229"/>
    </row>
    <row r="111" spans="1:8">
      <c r="A111" s="229"/>
      <c r="B111" s="229"/>
      <c r="C111" s="229"/>
      <c r="D111" s="229"/>
      <c r="E111" s="229"/>
      <c r="F111" s="229"/>
      <c r="G111" s="229"/>
    </row>
  </sheetData>
  <mergeCells count="113">
    <mergeCell ref="D73:E73"/>
    <mergeCell ref="A49:H49"/>
    <mergeCell ref="A56:H56"/>
    <mergeCell ref="G95:H95"/>
    <mergeCell ref="E95:F95"/>
    <mergeCell ref="A57:H57"/>
    <mergeCell ref="A58:H58"/>
    <mergeCell ref="A59:C61"/>
    <mergeCell ref="D59:E59"/>
    <mergeCell ref="F59:G59"/>
    <mergeCell ref="D60:E60"/>
    <mergeCell ref="F60:G60"/>
    <mergeCell ref="D61:E61"/>
    <mergeCell ref="F61:G61"/>
    <mergeCell ref="A88:E88"/>
    <mergeCell ref="A89:E89"/>
    <mergeCell ref="A82:E82"/>
    <mergeCell ref="A85:E85"/>
    <mergeCell ref="A86:E86"/>
    <mergeCell ref="A87:E87"/>
    <mergeCell ref="A76:C76"/>
    <mergeCell ref="D76:E76"/>
    <mergeCell ref="F76:G76"/>
    <mergeCell ref="D72:E72"/>
    <mergeCell ref="F72:G72"/>
    <mergeCell ref="F66:G66"/>
    <mergeCell ref="A1:H1"/>
    <mergeCell ref="A2:H2"/>
    <mergeCell ref="A3:H3"/>
    <mergeCell ref="G35:H35"/>
    <mergeCell ref="A5:F5"/>
    <mergeCell ref="A35:F35"/>
    <mergeCell ref="D106:E106"/>
    <mergeCell ref="F106:G106"/>
    <mergeCell ref="D45:E45"/>
    <mergeCell ref="F45:G45"/>
    <mergeCell ref="D46:E46"/>
    <mergeCell ref="F46:G46"/>
    <mergeCell ref="A103:G103"/>
    <mergeCell ref="D48:E48"/>
    <mergeCell ref="F48:G48"/>
    <mergeCell ref="A78:H78"/>
    <mergeCell ref="F83:F84"/>
    <mergeCell ref="A104:C105"/>
    <mergeCell ref="D104:E104"/>
    <mergeCell ref="E92:F92"/>
    <mergeCell ref="A91:H91"/>
    <mergeCell ref="G92:H92"/>
    <mergeCell ref="A94:D94"/>
    <mergeCell ref="F73:G73"/>
    <mergeCell ref="A36:H36"/>
    <mergeCell ref="H83:H84"/>
    <mergeCell ref="A6:H6"/>
    <mergeCell ref="G5:H5"/>
    <mergeCell ref="A43:H43"/>
    <mergeCell ref="A44:H44"/>
    <mergeCell ref="G83:G84"/>
    <mergeCell ref="A69:H69"/>
    <mergeCell ref="A70:H70"/>
    <mergeCell ref="A79:H79"/>
    <mergeCell ref="A83:E84"/>
    <mergeCell ref="A42:H42"/>
    <mergeCell ref="F47:G47"/>
    <mergeCell ref="A62:H62"/>
    <mergeCell ref="F54:G54"/>
    <mergeCell ref="A50:H50"/>
    <mergeCell ref="A51:H51"/>
    <mergeCell ref="D52:E52"/>
    <mergeCell ref="F52:G52"/>
    <mergeCell ref="D53:E53"/>
    <mergeCell ref="F53:G53"/>
    <mergeCell ref="D54:E54"/>
    <mergeCell ref="F55:G55"/>
    <mergeCell ref="F107:G107"/>
    <mergeCell ref="F105:G105"/>
    <mergeCell ref="F104:G104"/>
    <mergeCell ref="A98:F98"/>
    <mergeCell ref="G93:H93"/>
    <mergeCell ref="G94:H94"/>
    <mergeCell ref="G96:H96"/>
    <mergeCell ref="E93:F93"/>
    <mergeCell ref="E94:F94"/>
    <mergeCell ref="E96:F96"/>
    <mergeCell ref="A107:C107"/>
    <mergeCell ref="D107:E107"/>
    <mergeCell ref="D105:E105"/>
    <mergeCell ref="A106:C106"/>
    <mergeCell ref="A92:D93"/>
    <mergeCell ref="A96:D96"/>
    <mergeCell ref="D47:E47"/>
    <mergeCell ref="A48:C48"/>
    <mergeCell ref="A47:C47"/>
    <mergeCell ref="A55:C55"/>
    <mergeCell ref="D55:E55"/>
    <mergeCell ref="A73:C73"/>
    <mergeCell ref="A74:C74"/>
    <mergeCell ref="A75:C75"/>
    <mergeCell ref="D71:E71"/>
    <mergeCell ref="D74:E74"/>
    <mergeCell ref="A68:H68"/>
    <mergeCell ref="A54:C54"/>
    <mergeCell ref="A63:H63"/>
    <mergeCell ref="A64:H64"/>
    <mergeCell ref="A65:C67"/>
    <mergeCell ref="D65:E65"/>
    <mergeCell ref="F65:G65"/>
    <mergeCell ref="D66:E66"/>
    <mergeCell ref="D67:E67"/>
    <mergeCell ref="F67:G67"/>
    <mergeCell ref="F74:G74"/>
    <mergeCell ref="D75:E75"/>
    <mergeCell ref="F75:G75"/>
    <mergeCell ref="F71:G71"/>
  </mergeCells>
  <phoneticPr fontId="7" type="noConversion"/>
  <pageMargins left="0.7" right="0.7" top="0.75" bottom="0.75" header="0.3" footer="0.3"/>
  <pageSetup paperSize="9" scale="57" fitToHeight="2" orientation="portrait" r:id="rId1"/>
  <headerFooter alignWithMargins="0">
    <oddFooter>&amp;C&amp;"Times New Roman,Normal"&amp;8&amp;K000000Løntabel BUPL/Aftaleenheden.&amp;R&amp;"Times New Roman,Normal"&amp;8&amp;K000000&amp;Paf i alt &amp;N</oddFooter>
  </headerFooter>
  <rowBreaks count="1" manualBreakCount="1">
    <brk id="6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defaultColWidth="8.81640625" defaultRowHeight="12.5"/>
  <cols>
    <col min="1" max="1" width="9" style="211" customWidth="1"/>
    <col min="2" max="3" width="11.08984375" style="211" customWidth="1"/>
    <col min="4" max="4" width="11.36328125" style="211" customWidth="1"/>
    <col min="5" max="6" width="10.6328125" style="211" customWidth="1"/>
    <col min="7" max="7" width="10.08984375" style="211" customWidth="1"/>
    <col min="8" max="8" width="10.81640625" style="211" customWidth="1"/>
    <col min="9" max="9" width="11.08984375" style="211" customWidth="1"/>
    <col min="10" max="10" width="9.08984375" style="211" customWidth="1"/>
    <col min="11" max="16384" width="8.81640625" style="211"/>
  </cols>
  <sheetData>
    <row r="1" spans="1:16" ht="20">
      <c r="A1" s="1186" t="s">
        <v>19</v>
      </c>
      <c r="B1" s="1187"/>
      <c r="C1" s="1187"/>
      <c r="D1" s="1187"/>
      <c r="E1" s="1187"/>
      <c r="F1" s="1187"/>
      <c r="G1" s="1187"/>
      <c r="H1" s="1187"/>
      <c r="I1" s="1187"/>
      <c r="J1" s="1188"/>
    </row>
    <row r="2" spans="1:16" ht="20">
      <c r="A2" s="1720" t="s">
        <v>189</v>
      </c>
      <c r="B2" s="1721"/>
      <c r="C2" s="1721"/>
      <c r="D2" s="1721"/>
      <c r="E2" s="1721"/>
      <c r="F2" s="1721"/>
      <c r="G2" s="1721"/>
      <c r="H2" s="1721"/>
      <c r="I2" s="1721"/>
      <c r="J2" s="1722"/>
    </row>
    <row r="3" spans="1:16" ht="20.5" thickBot="1">
      <c r="A3" s="1661" t="s">
        <v>203</v>
      </c>
      <c r="B3" s="1662"/>
      <c r="C3" s="1662"/>
      <c r="D3" s="1662"/>
      <c r="E3" s="1662"/>
      <c r="F3" s="1662"/>
      <c r="G3" s="1662"/>
      <c r="H3" s="1662"/>
      <c r="I3" s="1662"/>
      <c r="J3" s="1663"/>
    </row>
    <row r="4" spans="1:16" ht="22.5">
      <c r="A4" s="1726"/>
      <c r="B4" s="1727"/>
      <c r="C4" s="1727"/>
      <c r="D4" s="1727"/>
      <c r="E4" s="1727"/>
      <c r="F4" s="1727"/>
      <c r="G4" s="1727"/>
      <c r="H4" s="1727"/>
      <c r="I4" s="1727"/>
      <c r="J4" s="227"/>
    </row>
    <row r="5" spans="1:16" ht="47.25" customHeight="1">
      <c r="A5" s="985" t="s">
        <v>221</v>
      </c>
      <c r="B5" s="986"/>
      <c r="C5" s="986"/>
      <c r="D5" s="986"/>
      <c r="E5" s="986"/>
      <c r="F5" s="986"/>
      <c r="G5" s="986"/>
      <c r="H5" s="986"/>
      <c r="I5" s="986"/>
      <c r="J5" s="227"/>
    </row>
    <row r="6" spans="1:16" ht="8" customHeight="1">
      <c r="A6" s="251"/>
      <c r="B6" s="251"/>
      <c r="C6" s="251"/>
      <c r="D6" s="251"/>
      <c r="E6" s="251"/>
      <c r="F6" s="251"/>
      <c r="G6" s="251"/>
      <c r="H6" s="251"/>
      <c r="I6" s="251"/>
      <c r="J6" s="227"/>
      <c r="L6" s="238"/>
      <c r="M6" s="237"/>
      <c r="N6" s="237"/>
      <c r="O6" s="237"/>
      <c r="P6" s="237"/>
    </row>
    <row r="7" spans="1:16" ht="18" customHeight="1" thickBot="1">
      <c r="A7" s="251"/>
      <c r="B7" s="251"/>
      <c r="C7" s="251"/>
      <c r="D7" s="251"/>
      <c r="E7" s="251"/>
      <c r="F7" s="251"/>
      <c r="G7" s="251"/>
      <c r="H7" s="251"/>
      <c r="I7" s="251"/>
      <c r="J7" s="227"/>
      <c r="L7" s="238"/>
      <c r="M7" s="237"/>
      <c r="N7" s="237"/>
      <c r="O7" s="237"/>
      <c r="P7" s="237"/>
    </row>
    <row r="8" spans="1:16" ht="18.5" thickBot="1">
      <c r="A8" s="1723" t="s">
        <v>15</v>
      </c>
      <c r="B8" s="1724"/>
      <c r="C8" s="1724"/>
      <c r="D8" s="1724"/>
      <c r="E8" s="1724"/>
      <c r="F8" s="1725"/>
      <c r="G8" s="1611" t="s">
        <v>168</v>
      </c>
      <c r="H8" s="1612"/>
      <c r="I8" s="1612"/>
      <c r="J8" s="1613"/>
      <c r="L8" s="238"/>
      <c r="M8" s="237"/>
      <c r="N8" s="237"/>
      <c r="O8" s="237"/>
      <c r="P8" s="237"/>
    </row>
    <row r="9" spans="1:16" ht="39">
      <c r="A9" s="435" t="s">
        <v>57</v>
      </c>
      <c r="B9" s="435" t="s">
        <v>75</v>
      </c>
      <c r="C9" s="438" t="s">
        <v>76</v>
      </c>
      <c r="D9" s="435" t="s">
        <v>77</v>
      </c>
      <c r="E9" s="435" t="s">
        <v>78</v>
      </c>
      <c r="F9" s="435" t="s">
        <v>79</v>
      </c>
      <c r="G9" s="439" t="s">
        <v>185</v>
      </c>
      <c r="H9" s="440" t="s">
        <v>186</v>
      </c>
      <c r="I9" s="440" t="s">
        <v>187</v>
      </c>
      <c r="J9" s="441">
        <v>0.14000000000000001</v>
      </c>
    </row>
    <row r="10" spans="1:16" ht="15" customHeight="1">
      <c r="A10" s="352" t="s">
        <v>209</v>
      </c>
      <c r="B10" s="277">
        <f>+'Statens skalatrin'!D46+F24/12</f>
        <v>23589.927242916667</v>
      </c>
      <c r="C10" s="278">
        <f>+'Statens skalatrin'!F46+F24/12</f>
        <v>24077.017242916663</v>
      </c>
      <c r="D10" s="279">
        <f>+'Statens skalatrin'!H46+F24/12</f>
        <v>24414.177242916667</v>
      </c>
      <c r="E10" s="277">
        <f>+'Statens skalatrin'!J46+F24/12</f>
        <v>24901.097242916665</v>
      </c>
      <c r="F10" s="277">
        <f>+'Statens skalatrin'!L46+F24/12</f>
        <v>25238.267242916663</v>
      </c>
      <c r="G10" s="280">
        <f>+'Statens skalatrin'!O46+F24/12</f>
        <v>22068.927242916667</v>
      </c>
      <c r="H10" s="281">
        <f>J10*1/3</f>
        <v>1029.8832713361112</v>
      </c>
      <c r="I10" s="282">
        <f>J10*2/3</f>
        <v>2059.7665426722224</v>
      </c>
      <c r="J10" s="282">
        <f>G10*$J$9</f>
        <v>3089.6498140083336</v>
      </c>
    </row>
    <row r="11" spans="1:16" ht="15" customHeight="1">
      <c r="A11" s="289">
        <v>17</v>
      </c>
      <c r="B11" s="277">
        <f>+'Statens skalatrin'!D55</f>
        <v>24559.67</v>
      </c>
      <c r="C11" s="278">
        <f>+'Statens skalatrin'!F55</f>
        <v>25084.67</v>
      </c>
      <c r="D11" s="279">
        <f>+'Statens skalatrin'!H55</f>
        <v>25448.080000000002</v>
      </c>
      <c r="E11" s="277">
        <f>'Statens skalatrin'!J55</f>
        <v>25973</v>
      </c>
      <c r="F11" s="277">
        <f>+'Statens skalatrin'!L55</f>
        <v>26336.25</v>
      </c>
      <c r="G11" s="280">
        <f>+'Statens skalatrin'!O55</f>
        <v>23066.49</v>
      </c>
      <c r="H11" s="281">
        <f>J11*1/3</f>
        <v>1076.4362000000003</v>
      </c>
      <c r="I11" s="282">
        <f>J11*2/3</f>
        <v>2152.8724000000007</v>
      </c>
      <c r="J11" s="282">
        <f>G11*$J$9</f>
        <v>3229.3086000000008</v>
      </c>
    </row>
    <row r="12" spans="1:16" ht="17" customHeight="1" thickBot="1">
      <c r="A12" s="290" t="s">
        <v>169</v>
      </c>
      <c r="B12" s="283">
        <f>+'Statens skalatrin'!D64+F25/12</f>
        <v>25751.847885833333</v>
      </c>
      <c r="C12" s="284">
        <f>+'Statens skalatrin'!F64+F25/12</f>
        <v>26317.757885833336</v>
      </c>
      <c r="D12" s="285">
        <f>+'Statens skalatrin'!H64+F25/12</f>
        <v>26709.677885833335</v>
      </c>
      <c r="E12" s="283">
        <f>+'Statens skalatrin'!J64+F25/12</f>
        <v>27275.677885833335</v>
      </c>
      <c r="F12" s="283">
        <f>+'Statens skalatrin'!L64+F25/12</f>
        <v>27667.347885833333</v>
      </c>
      <c r="G12" s="286">
        <f>+'Statens skalatrin'!O64+F25/12</f>
        <v>24423.877885833335</v>
      </c>
      <c r="H12" s="287">
        <f>J12*1/3</f>
        <v>1139.7809680055559</v>
      </c>
      <c r="I12" s="288">
        <f>J12*2/3</f>
        <v>2279.5619360111118</v>
      </c>
      <c r="J12" s="288">
        <f>G12*$J$9</f>
        <v>3419.3429040166675</v>
      </c>
    </row>
    <row r="13" spans="1:16" ht="17" customHeight="1">
      <c r="A13" s="237" t="s">
        <v>222</v>
      </c>
      <c r="B13" s="231"/>
      <c r="C13" s="231"/>
      <c r="D13" s="231"/>
      <c r="E13" s="231"/>
      <c r="F13" s="231"/>
      <c r="G13" s="254"/>
      <c r="H13" s="255"/>
      <c r="I13" s="256"/>
      <c r="J13" s="256"/>
    </row>
    <row r="14" spans="1:16" ht="16" customHeight="1" thickBot="1">
      <c r="A14" s="251"/>
      <c r="B14" s="251"/>
      <c r="C14" s="251"/>
      <c r="D14" s="251"/>
      <c r="E14" s="251"/>
      <c r="F14" s="251"/>
      <c r="G14" s="251"/>
      <c r="H14" s="251"/>
      <c r="I14" s="251"/>
      <c r="J14" s="227"/>
      <c r="L14" s="253"/>
    </row>
    <row r="15" spans="1:16" ht="16" customHeight="1" thickBot="1">
      <c r="A15" s="1611" t="s">
        <v>170</v>
      </c>
      <c r="B15" s="1612"/>
      <c r="C15" s="1612"/>
      <c r="D15" s="1612"/>
      <c r="E15" s="1612"/>
      <c r="F15" s="1613"/>
      <c r="G15" s="237"/>
      <c r="H15" s="237"/>
      <c r="I15" s="237"/>
      <c r="J15" s="227"/>
      <c r="L15" s="253"/>
    </row>
    <row r="16" spans="1:16" ht="16" customHeight="1" thickBot="1">
      <c r="A16" s="241" t="s">
        <v>171</v>
      </c>
      <c r="B16" s="242"/>
      <c r="C16" s="242"/>
      <c r="D16" s="242"/>
      <c r="E16" s="242"/>
      <c r="F16" s="243"/>
      <c r="G16" s="237"/>
      <c r="H16" s="237"/>
      <c r="I16" s="237"/>
      <c r="J16" s="227"/>
      <c r="L16" s="253"/>
    </row>
    <row r="17" spans="1:10" ht="16" customHeight="1">
      <c r="A17" s="435" t="s">
        <v>57</v>
      </c>
      <c r="B17" s="436" t="s">
        <v>75</v>
      </c>
      <c r="C17" s="435" t="s">
        <v>76</v>
      </c>
      <c r="D17" s="436" t="s">
        <v>77</v>
      </c>
      <c r="E17" s="435" t="s">
        <v>78</v>
      </c>
      <c r="F17" s="437" t="s">
        <v>79</v>
      </c>
      <c r="G17" s="237"/>
      <c r="H17" s="237"/>
      <c r="I17" s="237"/>
      <c r="J17" s="227"/>
    </row>
    <row r="18" spans="1:10" ht="16" customHeight="1" thickBot="1">
      <c r="A18" s="294">
        <v>14</v>
      </c>
      <c r="B18" s="291">
        <f>B10*12/1924</f>
        <v>147.13052334459462</v>
      </c>
      <c r="C18" s="292">
        <f>C10*12/1924</f>
        <v>150.16850671257797</v>
      </c>
      <c r="D18" s="291">
        <f>D10*12/1924</f>
        <v>152.27137573544701</v>
      </c>
      <c r="E18" s="292">
        <f>E10*12/1924</f>
        <v>155.30829881237003</v>
      </c>
      <c r="F18" s="293">
        <f>F10*12/1924</f>
        <v>157.41123020530145</v>
      </c>
      <c r="G18" s="237"/>
      <c r="H18" s="236"/>
      <c r="I18" s="236"/>
      <c r="J18" s="227"/>
    </row>
    <row r="19" spans="1:10" ht="15" customHeight="1">
      <c r="A19" s="246"/>
      <c r="B19" s="245"/>
      <c r="C19" s="245"/>
      <c r="D19" s="245"/>
      <c r="E19" s="245"/>
      <c r="F19" s="245"/>
      <c r="G19" s="237"/>
      <c r="H19" s="236"/>
      <c r="I19" s="236"/>
      <c r="J19" s="227"/>
    </row>
    <row r="20" spans="1:10" ht="13" customHeight="1" thickBot="1">
      <c r="A20" s="246"/>
      <c r="B20" s="245"/>
      <c r="C20" s="245"/>
      <c r="D20" s="245"/>
      <c r="E20" s="245"/>
      <c r="F20" s="245"/>
      <c r="G20" s="237"/>
      <c r="H20" s="236"/>
      <c r="I20" s="236"/>
      <c r="J20" s="227"/>
    </row>
    <row r="21" spans="1:10" ht="15" customHeight="1" thickBot="1">
      <c r="A21" s="1078" t="s">
        <v>163</v>
      </c>
      <c r="B21" s="1079"/>
      <c r="C21" s="1079"/>
      <c r="D21" s="1079"/>
      <c r="E21" s="1079"/>
      <c r="F21" s="1080"/>
      <c r="G21" s="205"/>
      <c r="H21" s="205"/>
      <c r="I21" s="205"/>
      <c r="J21" s="227"/>
    </row>
    <row r="22" spans="1:10" ht="15" customHeight="1">
      <c r="A22" s="1697" t="s">
        <v>182</v>
      </c>
      <c r="B22" s="1698"/>
      <c r="C22" s="1698"/>
      <c r="D22" s="1698"/>
      <c r="E22" s="429" t="s">
        <v>98</v>
      </c>
      <c r="F22" s="433" t="s">
        <v>103</v>
      </c>
      <c r="G22" s="248"/>
      <c r="H22" s="237"/>
      <c r="I22" s="237"/>
      <c r="J22" s="227"/>
    </row>
    <row r="23" spans="1:10" ht="15" customHeight="1" thickBot="1">
      <c r="A23" s="1700"/>
      <c r="B23" s="1701"/>
      <c r="C23" s="1701"/>
      <c r="D23" s="1701"/>
      <c r="E23" s="431">
        <v>40999</v>
      </c>
      <c r="F23" s="434" t="str">
        <f>'Løntabel gældende fra'!$D$1</f>
        <v>01-04-2025</v>
      </c>
      <c r="G23" s="248"/>
      <c r="H23" s="237"/>
      <c r="I23" s="237"/>
      <c r="J23" s="227"/>
    </row>
    <row r="24" spans="1:10" ht="15" customHeight="1" thickBot="1">
      <c r="A24" s="1730" t="s">
        <v>208</v>
      </c>
      <c r="B24" s="1731"/>
      <c r="C24" s="1731"/>
      <c r="D24" s="409"/>
      <c r="E24" s="303">
        <v>1957</v>
      </c>
      <c r="F24" s="295">
        <f>E24+E24*'Løntabel gældende fra'!$D$7%</f>
        <v>2413.1669149999998</v>
      </c>
      <c r="G24" s="248"/>
      <c r="H24" s="237"/>
      <c r="I24" s="237"/>
      <c r="J24" s="227"/>
    </row>
    <row r="25" spans="1:10" ht="15" customHeight="1" thickBot="1">
      <c r="A25" s="1728" t="s">
        <v>183</v>
      </c>
      <c r="B25" s="1729"/>
      <c r="C25" s="1729"/>
      <c r="D25" s="410"/>
      <c r="E25" s="303">
        <v>554</v>
      </c>
      <c r="F25" s="295">
        <f>E25+E25*'Løntabel gældende fra'!$D$7%</f>
        <v>683.13463000000002</v>
      </c>
      <c r="G25" s="248"/>
      <c r="H25" s="237"/>
      <c r="I25" s="237"/>
      <c r="J25" s="227"/>
    </row>
    <row r="26" spans="1:10" ht="15" customHeight="1">
      <c r="A26" s="247"/>
      <c r="B26" s="245"/>
      <c r="C26" s="245"/>
      <c r="D26" s="245"/>
      <c r="E26" s="245"/>
      <c r="F26" s="245"/>
      <c r="G26" s="237"/>
      <c r="H26" s="237"/>
      <c r="I26" s="237"/>
      <c r="J26" s="227"/>
    </row>
    <row r="27" spans="1:10" ht="15" customHeight="1" thickBot="1">
      <c r="A27" s="247"/>
      <c r="B27" s="245"/>
      <c r="C27" s="245"/>
      <c r="D27" s="245"/>
      <c r="E27" s="245"/>
      <c r="F27" s="245"/>
      <c r="G27" s="237"/>
      <c r="H27" s="237"/>
      <c r="I27" s="237"/>
      <c r="J27" s="227"/>
    </row>
    <row r="28" spans="1:10" ht="15" customHeight="1" thickBot="1">
      <c r="A28" s="1078" t="s">
        <v>172</v>
      </c>
      <c r="B28" s="1079"/>
      <c r="C28" s="1079"/>
      <c r="D28" s="1079"/>
      <c r="E28" s="1079"/>
      <c r="F28" s="1079"/>
      <c r="G28" s="1079"/>
      <c r="H28" s="1079"/>
      <c r="I28" s="1080"/>
      <c r="J28" s="227"/>
    </row>
    <row r="29" spans="1:10" ht="15" customHeight="1" thickBot="1">
      <c r="A29" s="1705"/>
      <c r="B29" s="1706"/>
      <c r="C29" s="1706"/>
      <c r="D29" s="1706"/>
      <c r="E29" s="1706"/>
      <c r="F29" s="1706"/>
      <c r="G29" s="1706"/>
      <c r="H29" s="429" t="s">
        <v>98</v>
      </c>
      <c r="I29" s="430" t="s">
        <v>103</v>
      </c>
      <c r="J29" s="227"/>
    </row>
    <row r="30" spans="1:10" ht="15" customHeight="1" thickBot="1">
      <c r="A30" s="1707"/>
      <c r="B30" s="1708"/>
      <c r="C30" s="1708"/>
      <c r="D30" s="1708"/>
      <c r="E30" s="1708"/>
      <c r="F30" s="1708"/>
      <c r="G30" s="1709"/>
      <c r="H30" s="431">
        <v>40999</v>
      </c>
      <c r="I30" s="432" t="str">
        <f>'Løntabel gældende fra'!$D$1</f>
        <v>01-04-2025</v>
      </c>
      <c r="J30" s="227"/>
    </row>
    <row r="31" spans="1:10" ht="15" customHeight="1">
      <c r="A31" s="1710" t="s">
        <v>173</v>
      </c>
      <c r="B31" s="1711"/>
      <c r="C31" s="1711"/>
      <c r="D31" s="1711"/>
      <c r="E31" s="1711"/>
      <c r="F31" s="232"/>
      <c r="G31" s="234" t="s">
        <v>165</v>
      </c>
      <c r="H31" s="296">
        <v>22.32</v>
      </c>
      <c r="I31" s="297">
        <f>H31+H31*'Løntabel gældende fra'!$D$7%</f>
        <v>27.522680399999999</v>
      </c>
      <c r="J31" s="227"/>
    </row>
    <row r="32" spans="1:10" ht="15" customHeight="1">
      <c r="A32" s="1718" t="s">
        <v>174</v>
      </c>
      <c r="B32" s="1719"/>
      <c r="C32" s="1719"/>
      <c r="D32" s="1719"/>
      <c r="E32" s="1719"/>
      <c r="F32" s="252"/>
      <c r="G32" s="235" t="s">
        <v>165</v>
      </c>
      <c r="H32" s="298">
        <v>39.921999999999997</v>
      </c>
      <c r="I32" s="299">
        <f>H32+H32*'Løntabel gældende fra'!$D$7%</f>
        <v>49.227618589999999</v>
      </c>
      <c r="J32" s="227"/>
    </row>
    <row r="33" spans="1:10" ht="26" customHeight="1">
      <c r="A33" s="1710" t="s">
        <v>175</v>
      </c>
      <c r="B33" s="1711"/>
      <c r="C33" s="1711"/>
      <c r="D33" s="1711"/>
      <c r="E33" s="1711"/>
      <c r="F33" s="1711"/>
      <c r="G33" s="235" t="s">
        <v>165</v>
      </c>
      <c r="H33" s="298">
        <v>39.92</v>
      </c>
      <c r="I33" s="299">
        <f>H33+H33*'Løntabel gældende fra'!$D$7%</f>
        <v>49.225152399999999</v>
      </c>
      <c r="J33" s="227"/>
    </row>
    <row r="34" spans="1:10" ht="15" customHeight="1" thickBot="1">
      <c r="A34" s="265" t="s">
        <v>164</v>
      </c>
      <c r="B34" s="264"/>
      <c r="C34" s="264"/>
      <c r="D34" s="264"/>
      <c r="E34" s="249"/>
      <c r="F34" s="249"/>
      <c r="G34" s="259" t="s">
        <v>165</v>
      </c>
      <c r="H34" s="300">
        <v>39.921999999999997</v>
      </c>
      <c r="I34" s="301">
        <f>H34+H34*'Løntabel gældende fra'!$D$7%</f>
        <v>49.227618589999999</v>
      </c>
      <c r="J34" s="227"/>
    </row>
    <row r="35" spans="1:10" ht="15" customHeight="1">
      <c r="A35" s="258"/>
      <c r="B35" s="258"/>
      <c r="C35" s="258"/>
      <c r="D35" s="258"/>
      <c r="E35" s="258"/>
      <c r="F35" s="258"/>
      <c r="G35" s="258"/>
      <c r="H35" s="222"/>
      <c r="I35" s="257"/>
      <c r="J35" s="227"/>
    </row>
    <row r="36" spans="1:10" ht="15" customHeight="1" thickBot="1">
      <c r="A36" s="258"/>
      <c r="B36" s="258"/>
      <c r="C36" s="258"/>
      <c r="D36" s="258"/>
      <c r="E36" s="258"/>
      <c r="F36" s="258"/>
      <c r="G36" s="258"/>
      <c r="H36" s="222"/>
      <c r="I36" s="257"/>
      <c r="J36" s="227"/>
    </row>
    <row r="37" spans="1:10" ht="15" customHeight="1" thickBot="1">
      <c r="A37" s="1078" t="s">
        <v>176</v>
      </c>
      <c r="B37" s="1079"/>
      <c r="C37" s="1079"/>
      <c r="D37" s="1079"/>
      <c r="E37" s="1079"/>
      <c r="F37" s="1079"/>
      <c r="G37" s="1079"/>
      <c r="H37" s="1079"/>
      <c r="I37" s="1080"/>
      <c r="J37" s="237"/>
    </row>
    <row r="38" spans="1:10" ht="15" customHeight="1" thickBot="1">
      <c r="A38" s="1705"/>
      <c r="B38" s="1706"/>
      <c r="C38" s="1706"/>
      <c r="D38" s="1706"/>
      <c r="E38" s="1706"/>
      <c r="F38" s="1706"/>
      <c r="G38" s="1706"/>
      <c r="H38" s="429" t="s">
        <v>98</v>
      </c>
      <c r="I38" s="430" t="s">
        <v>103</v>
      </c>
      <c r="J38" s="237"/>
    </row>
    <row r="39" spans="1:10" ht="15" customHeight="1" thickBot="1">
      <c r="A39" s="1707"/>
      <c r="B39" s="1708"/>
      <c r="C39" s="1708"/>
      <c r="D39" s="1708"/>
      <c r="E39" s="1708"/>
      <c r="F39" s="1708"/>
      <c r="G39" s="1709"/>
      <c r="H39" s="431">
        <v>40999</v>
      </c>
      <c r="I39" s="432" t="str">
        <f>'Løntabel gældende fra'!$D$1</f>
        <v>01-04-2025</v>
      </c>
      <c r="J39" s="237"/>
    </row>
    <row r="40" spans="1:10" ht="15" customHeight="1" thickBot="1">
      <c r="A40" s="1703" t="s">
        <v>177</v>
      </c>
      <c r="B40" s="1704"/>
      <c r="C40" s="1704"/>
      <c r="D40" s="1704"/>
      <c r="E40" s="1704"/>
      <c r="F40" s="233"/>
      <c r="G40" s="244" t="s">
        <v>165</v>
      </c>
      <c r="H40" s="302">
        <v>6.88</v>
      </c>
      <c r="I40" s="295">
        <f>H40+H40*'Løntabel gældende fra'!$D$7%</f>
        <v>8.4836936000000005</v>
      </c>
      <c r="J40" s="237"/>
    </row>
    <row r="41" spans="1:10" ht="15" customHeight="1">
      <c r="A41" s="227"/>
      <c r="B41" s="227"/>
      <c r="C41" s="227"/>
      <c r="D41" s="227"/>
      <c r="E41" s="227"/>
      <c r="F41" s="228"/>
      <c r="G41" s="227"/>
      <c r="H41" s="228"/>
      <c r="I41" s="227"/>
      <c r="J41" s="237"/>
    </row>
    <row r="42" spans="1:10" ht="15" customHeight="1" thickBot="1">
      <c r="A42" s="227"/>
      <c r="B42" s="227"/>
      <c r="C42" s="227"/>
      <c r="D42" s="227"/>
      <c r="E42" s="227"/>
      <c r="F42" s="228"/>
      <c r="G42" s="227"/>
      <c r="H42" s="228"/>
      <c r="I42" s="227"/>
      <c r="J42" s="237"/>
    </row>
    <row r="43" spans="1:10" ht="15" customHeight="1" thickBot="1">
      <c r="A43" s="1078" t="s">
        <v>178</v>
      </c>
      <c r="B43" s="1079"/>
      <c r="C43" s="1079"/>
      <c r="D43" s="1079"/>
      <c r="E43" s="1079"/>
      <c r="F43" s="1079"/>
      <c r="G43" s="1079"/>
      <c r="H43" s="1079"/>
      <c r="I43" s="1080"/>
      <c r="J43" s="237"/>
    </row>
    <row r="44" spans="1:10" ht="15" customHeight="1">
      <c r="A44" s="1712"/>
      <c r="B44" s="1713"/>
      <c r="C44" s="1713"/>
      <c r="D44" s="1713"/>
      <c r="E44" s="1713"/>
      <c r="F44" s="1713"/>
      <c r="G44" s="1714"/>
      <c r="H44" s="429" t="s">
        <v>98</v>
      </c>
      <c r="I44" s="430" t="s">
        <v>103</v>
      </c>
      <c r="J44" s="237"/>
    </row>
    <row r="45" spans="1:10" ht="15" customHeight="1" thickBot="1">
      <c r="A45" s="1715"/>
      <c r="B45" s="1716"/>
      <c r="C45" s="1716"/>
      <c r="D45" s="1716"/>
      <c r="E45" s="1716"/>
      <c r="F45" s="1716"/>
      <c r="G45" s="1717"/>
      <c r="H45" s="431">
        <v>40999</v>
      </c>
      <c r="I45" s="432" t="str">
        <f>'Løntabel gældende fra'!$D$1</f>
        <v>01-04-2025</v>
      </c>
      <c r="J45" s="237"/>
    </row>
    <row r="46" spans="1:10" ht="15" customHeight="1" thickBot="1">
      <c r="A46" s="1703" t="s">
        <v>190</v>
      </c>
      <c r="B46" s="1704"/>
      <c r="C46" s="1704"/>
      <c r="D46" s="1704"/>
      <c r="E46" s="1704"/>
      <c r="F46" s="233"/>
      <c r="G46" s="244"/>
      <c r="H46" s="302">
        <v>655</v>
      </c>
      <c r="I46" s="295">
        <f>H46+H46*'Løntabel gældende fra'!$D$7%</f>
        <v>807.67722500000002</v>
      </c>
      <c r="J46" s="237"/>
    </row>
    <row r="47" spans="1:10" ht="15" customHeight="1">
      <c r="A47" s="227"/>
      <c r="B47" s="227"/>
      <c r="C47" s="227"/>
      <c r="D47" s="227"/>
      <c r="E47" s="227"/>
      <c r="F47" s="228"/>
      <c r="G47" s="227"/>
      <c r="H47" s="228"/>
      <c r="I47" s="227"/>
      <c r="J47" s="237"/>
    </row>
    <row r="48" spans="1:10" ht="15" customHeight="1" thickBot="1">
      <c r="A48" s="227"/>
      <c r="B48" s="227"/>
      <c r="C48" s="227"/>
      <c r="D48" s="227"/>
      <c r="E48" s="227"/>
      <c r="F48" s="228"/>
      <c r="G48" s="227"/>
      <c r="H48" s="228"/>
      <c r="I48" s="227"/>
      <c r="J48" s="237"/>
    </row>
    <row r="49" spans="1:10" ht="15" customHeight="1" thickBot="1">
      <c r="A49" s="1078" t="s">
        <v>179</v>
      </c>
      <c r="B49" s="1079"/>
      <c r="C49" s="1079"/>
      <c r="D49" s="1079"/>
      <c r="E49" s="1079"/>
      <c r="F49" s="1079"/>
      <c r="G49" s="1079"/>
      <c r="H49" s="1079"/>
      <c r="I49" s="1080"/>
      <c r="J49" s="237"/>
    </row>
    <row r="50" spans="1:10" ht="15" customHeight="1">
      <c r="A50" s="1697" t="s">
        <v>181</v>
      </c>
      <c r="B50" s="1698"/>
      <c r="C50" s="1698"/>
      <c r="D50" s="1698"/>
      <c r="E50" s="1698"/>
      <c r="F50" s="1698"/>
      <c r="G50" s="1699"/>
      <c r="H50" s="429" t="s">
        <v>98</v>
      </c>
      <c r="I50" s="430" t="s">
        <v>103</v>
      </c>
      <c r="J50" s="237"/>
    </row>
    <row r="51" spans="1:10" ht="15" customHeight="1" thickBot="1">
      <c r="A51" s="1700"/>
      <c r="B51" s="1701"/>
      <c r="C51" s="1701"/>
      <c r="D51" s="1701"/>
      <c r="E51" s="1701"/>
      <c r="F51" s="1701"/>
      <c r="G51" s="1702"/>
      <c r="H51" s="431">
        <v>40999</v>
      </c>
      <c r="I51" s="432" t="str">
        <f>'Løntabel gældende fra'!$D$1</f>
        <v>01-04-2025</v>
      </c>
      <c r="J51" s="237"/>
    </row>
    <row r="52" spans="1:10" ht="15" customHeight="1" thickBot="1">
      <c r="A52" s="1703" t="s">
        <v>180</v>
      </c>
      <c r="B52" s="1704"/>
      <c r="C52" s="1704"/>
      <c r="D52" s="1704"/>
      <c r="E52" s="1704"/>
      <c r="F52" s="233"/>
      <c r="G52" s="244"/>
      <c r="H52" s="302">
        <v>0</v>
      </c>
      <c r="I52" s="295">
        <f>H52+H52*'Løntabel gældende fra'!$D$7%</f>
        <v>0</v>
      </c>
      <c r="J52" s="237"/>
    </row>
    <row r="53" spans="1:10" ht="15" customHeight="1">
      <c r="A53" s="227"/>
      <c r="B53" s="227"/>
      <c r="C53" s="227"/>
      <c r="D53" s="227"/>
      <c r="E53" s="227"/>
      <c r="F53" s="228"/>
      <c r="G53" s="227"/>
      <c r="H53" s="228"/>
      <c r="I53" s="227"/>
      <c r="J53" s="237"/>
    </row>
    <row r="54" spans="1:10" ht="15" customHeight="1" thickBot="1">
      <c r="A54" s="227"/>
      <c r="B54" s="227"/>
      <c r="C54" s="227"/>
      <c r="D54" s="227"/>
      <c r="E54" s="227"/>
      <c r="F54" s="228"/>
      <c r="G54" s="227"/>
      <c r="H54" s="228"/>
      <c r="I54" s="227"/>
      <c r="J54" s="237"/>
    </row>
    <row r="55" spans="1:10" s="237" customFormat="1" ht="18.5" thickBot="1">
      <c r="A55" s="1078" t="s">
        <v>184</v>
      </c>
      <c r="B55" s="1079"/>
      <c r="C55" s="1079"/>
      <c r="D55" s="1079"/>
      <c r="E55" s="1079"/>
      <c r="F55" s="1079"/>
      <c r="G55" s="1079"/>
      <c r="H55" s="1079"/>
      <c r="I55" s="1080"/>
    </row>
    <row r="56" spans="1:10" s="237" customFormat="1" ht="14">
      <c r="A56" s="1697"/>
      <c r="B56" s="1698"/>
      <c r="C56" s="1698"/>
      <c r="D56" s="1698"/>
      <c r="E56" s="1698"/>
      <c r="F56" s="1698"/>
      <c r="G56" s="1699"/>
      <c r="H56" s="429" t="s">
        <v>98</v>
      </c>
      <c r="I56" s="430" t="s">
        <v>103</v>
      </c>
    </row>
    <row r="57" spans="1:10" s="237" customFormat="1" ht="14.5" thickBot="1">
      <c r="A57" s="1700"/>
      <c r="B57" s="1701"/>
      <c r="C57" s="1701"/>
      <c r="D57" s="1701"/>
      <c r="E57" s="1701"/>
      <c r="F57" s="1701"/>
      <c r="G57" s="1702"/>
      <c r="H57" s="431">
        <v>40999</v>
      </c>
      <c r="I57" s="432" t="str">
        <f>'Løntabel gældende fra'!$D$1</f>
        <v>01-04-2025</v>
      </c>
    </row>
    <row r="58" spans="1:10" s="237" customFormat="1" ht="14.5" thickBot="1">
      <c r="A58" s="1703" t="s">
        <v>184</v>
      </c>
      <c r="B58" s="1704"/>
      <c r="C58" s="1704"/>
      <c r="D58" s="1704"/>
      <c r="E58" s="1704"/>
      <c r="F58" s="233"/>
      <c r="G58" s="244"/>
      <c r="H58" s="302">
        <v>10500</v>
      </c>
      <c r="I58" s="303">
        <f>H58+H58*'Løntabel gældende fra'!$D$7%</f>
        <v>12947.497499999999</v>
      </c>
    </row>
    <row r="59" spans="1:10" s="263" customFormat="1" ht="14">
      <c r="A59" s="260"/>
      <c r="B59" s="260"/>
      <c r="C59" s="260"/>
      <c r="D59" s="260"/>
      <c r="E59" s="260"/>
      <c r="F59" s="248"/>
      <c r="G59" s="248"/>
      <c r="H59" s="261"/>
      <c r="I59" s="262"/>
    </row>
  </sheetData>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defaultColWidth="8.81640625" defaultRowHeight="12.5"/>
  <cols>
    <col min="1" max="1" width="13.36328125" style="211" customWidth="1"/>
    <col min="2" max="2" width="15" style="211" customWidth="1"/>
    <col min="3" max="3" width="16.36328125" style="211" customWidth="1"/>
    <col min="4" max="4" width="16.08984375" style="212" customWidth="1"/>
    <col min="5" max="5" width="17.36328125" style="211" customWidth="1"/>
    <col min="6" max="6" width="13.6328125" style="213" customWidth="1"/>
    <col min="7" max="7" width="0.36328125" style="213" customWidth="1"/>
    <col min="8" max="8" width="10.6328125" style="211" customWidth="1"/>
    <col min="9" max="16384" width="8.81640625" style="211"/>
  </cols>
  <sheetData>
    <row r="1" spans="1:9" s="2" customFormat="1" ht="22" customHeight="1">
      <c r="A1" s="1186" t="s">
        <v>19</v>
      </c>
      <c r="B1" s="1187"/>
      <c r="C1" s="1187"/>
      <c r="D1" s="1187"/>
      <c r="E1" s="1187"/>
      <c r="F1" s="1187"/>
      <c r="G1" s="1188"/>
      <c r="H1" s="392"/>
      <c r="I1" s="39"/>
    </row>
    <row r="2" spans="1:9" s="2" customFormat="1" ht="76" customHeight="1">
      <c r="A2" s="1720" t="s">
        <v>148</v>
      </c>
      <c r="B2" s="1721"/>
      <c r="C2" s="1721"/>
      <c r="D2" s="1721"/>
      <c r="E2" s="1721"/>
      <c r="F2" s="1721"/>
      <c r="G2" s="1722"/>
      <c r="H2" s="391"/>
    </row>
    <row r="3" spans="1:9" s="2" customFormat="1" ht="28" customHeight="1" thickBot="1">
      <c r="A3" s="1661" t="s">
        <v>203</v>
      </c>
      <c r="B3" s="1662"/>
      <c r="C3" s="1662"/>
      <c r="D3" s="1662"/>
      <c r="E3" s="1662"/>
      <c r="F3" s="1662"/>
      <c r="G3" s="1663"/>
      <c r="H3" s="392"/>
    </row>
    <row r="4" spans="1:9" ht="12" customHeight="1" thickBot="1">
      <c r="A4" s="1733"/>
      <c r="B4" s="1733"/>
      <c r="C4" s="1733"/>
      <c r="D4" s="1733"/>
      <c r="E4" s="1733"/>
      <c r="F4" s="1733"/>
      <c r="G4" s="1733"/>
    </row>
    <row r="5" spans="1:9" ht="18.5" thickBot="1">
      <c r="A5" s="451" t="s">
        <v>151</v>
      </c>
      <c r="B5" s="452"/>
      <c r="C5" s="452"/>
      <c r="D5" s="452"/>
      <c r="E5" s="452"/>
      <c r="F5" s="393"/>
      <c r="G5" s="453"/>
    </row>
    <row r="6" spans="1:9" ht="30" customHeight="1">
      <c r="A6" s="1085" t="s">
        <v>138</v>
      </c>
      <c r="B6" s="1085" t="s">
        <v>94</v>
      </c>
      <c r="C6" s="396" t="s">
        <v>100</v>
      </c>
      <c r="D6" s="397" t="s">
        <v>100</v>
      </c>
      <c r="E6" s="397" t="s">
        <v>101</v>
      </c>
      <c r="F6" s="316" t="s">
        <v>139</v>
      </c>
    </row>
    <row r="7" spans="1:9" ht="15" customHeight="1" thickBot="1">
      <c r="A7" s="1103"/>
      <c r="B7" s="1103"/>
      <c r="C7" s="338">
        <v>40999</v>
      </c>
      <c r="D7" s="314">
        <f>'Løntabel gældende fra'!C7</f>
        <v>45748</v>
      </c>
      <c r="E7" s="314">
        <f>'Løntabel gældende fra'!C7</f>
        <v>45748</v>
      </c>
      <c r="F7" s="389" t="s">
        <v>140</v>
      </c>
    </row>
    <row r="8" spans="1:9" ht="16" customHeight="1">
      <c r="A8" s="89">
        <v>1</v>
      </c>
      <c r="B8" s="89" t="s">
        <v>141</v>
      </c>
      <c r="C8" s="341">
        <f>12*22670</f>
        <v>272040</v>
      </c>
      <c r="D8" s="219">
        <f>C8+(C8*'Løntabel gældende fra'!$D$7%)</f>
        <v>335451.16379999998</v>
      </c>
      <c r="E8" s="353">
        <f>D8/12</f>
        <v>27954.263649999997</v>
      </c>
      <c r="F8" s="443">
        <f>(E8*12)/1672*1</f>
        <v>200.62868648325357</v>
      </c>
    </row>
    <row r="9" spans="1:9" ht="16" customHeight="1">
      <c r="A9" s="90">
        <v>2</v>
      </c>
      <c r="B9" s="90" t="s">
        <v>149</v>
      </c>
      <c r="C9" s="344">
        <f>25300*12</f>
        <v>303600</v>
      </c>
      <c r="D9" s="180">
        <f>C9+(C9*'Løntabel gældende fra'!$D$7%)</f>
        <v>374367.64199999999</v>
      </c>
      <c r="E9" s="274">
        <f>D9/12</f>
        <v>31197.303499999998</v>
      </c>
      <c r="F9" s="445">
        <f>(E9*12)/1672*1</f>
        <v>223.90409210526315</v>
      </c>
    </row>
    <row r="10" spans="1:9" ht="16" customHeight="1">
      <c r="A10" s="214">
        <v>3</v>
      </c>
      <c r="B10" s="446" t="s">
        <v>142</v>
      </c>
      <c r="C10" s="447">
        <f>27920*12</f>
        <v>335040</v>
      </c>
      <c r="D10" s="180">
        <f>C10+(C10*'Løntabel gældende fra'!$D$7%)</f>
        <v>413136.14879999997</v>
      </c>
      <c r="E10" s="274">
        <f>D10/12</f>
        <v>34428.0124</v>
      </c>
      <c r="F10" s="445">
        <f>(E10*12)/1672*1</f>
        <v>247.09099808612439</v>
      </c>
    </row>
    <row r="11" spans="1:9" ht="16" customHeight="1" thickBot="1">
      <c r="A11" s="215">
        <v>4</v>
      </c>
      <c r="B11" s="448" t="s">
        <v>150</v>
      </c>
      <c r="C11" s="449">
        <f>29200*12</f>
        <v>350400</v>
      </c>
      <c r="D11" s="161">
        <f>C11+(C11*'Løntabel gældende fra'!$D$7%)</f>
        <v>432076.48800000001</v>
      </c>
      <c r="E11" s="355">
        <f>D11/12</f>
        <v>36006.374000000003</v>
      </c>
      <c r="F11" s="444">
        <f>(E11*12)/1672*1</f>
        <v>258.41895215311007</v>
      </c>
    </row>
    <row r="12" spans="1:9" ht="11" customHeight="1" thickBot="1"/>
    <row r="13" spans="1:9" ht="18.5" thickBot="1">
      <c r="A13" s="1091" t="s">
        <v>152</v>
      </c>
      <c r="B13" s="1092"/>
      <c r="C13" s="1092"/>
      <c r="D13" s="1092"/>
      <c r="E13" s="1145"/>
      <c r="F13" s="205"/>
    </row>
    <row r="14" spans="1:9" ht="30" customHeight="1">
      <c r="A14" s="1085" t="s">
        <v>138</v>
      </c>
      <c r="B14" s="396" t="s">
        <v>100</v>
      </c>
      <c r="C14" s="397" t="s">
        <v>100</v>
      </c>
      <c r="D14" s="397" t="s">
        <v>101</v>
      </c>
      <c r="E14" s="316" t="s">
        <v>139</v>
      </c>
      <c r="F14" s="40"/>
    </row>
    <row r="15" spans="1:9" ht="17" customHeight="1" thickBot="1">
      <c r="A15" s="1103"/>
      <c r="B15" s="338">
        <v>40999</v>
      </c>
      <c r="C15" s="314">
        <f>'Løntabel gældende fra'!C7</f>
        <v>45748</v>
      </c>
      <c r="D15" s="314">
        <f>'Løntabel gældende fra'!C7</f>
        <v>45748</v>
      </c>
      <c r="E15" s="389" t="s">
        <v>140</v>
      </c>
      <c r="F15" s="40"/>
    </row>
    <row r="16" spans="1:9" ht="16" customHeight="1">
      <c r="A16" s="89" t="s">
        <v>143</v>
      </c>
      <c r="B16" s="341">
        <f>12*13140</f>
        <v>157680</v>
      </c>
      <c r="C16" s="219">
        <f>B16+(B16*'Løntabel gældende fra'!$D$7%)</f>
        <v>194434.41959999999</v>
      </c>
      <c r="D16" s="353">
        <f>C16/12</f>
        <v>16202.8683</v>
      </c>
      <c r="E16" s="443">
        <f>(D16*12)/1672*1</f>
        <v>116.28852846889951</v>
      </c>
      <c r="F16" s="218"/>
    </row>
    <row r="17" spans="1:8" ht="16" customHeight="1" thickBot="1">
      <c r="A17" s="91" t="s">
        <v>144</v>
      </c>
      <c r="B17" s="342">
        <f>12*13800</f>
        <v>165600</v>
      </c>
      <c r="C17" s="161">
        <f>B17+(B17*'Løntabel gældende fra'!$D$7%)</f>
        <v>204200.53200000001</v>
      </c>
      <c r="D17" s="355">
        <f>C17/12</f>
        <v>17016.710999999999</v>
      </c>
      <c r="E17" s="444">
        <f>(D17*12)/1672*1</f>
        <v>122.129504784689</v>
      </c>
      <c r="F17" s="218"/>
    </row>
    <row r="18" spans="1:8" ht="13" customHeight="1" thickBot="1"/>
    <row r="19" spans="1:8" ht="18.5" thickBot="1">
      <c r="A19" s="1091" t="s">
        <v>153</v>
      </c>
      <c r="B19" s="1092"/>
      <c r="C19" s="1092"/>
      <c r="D19" s="1092"/>
      <c r="E19" s="1145"/>
    </row>
    <row r="20" spans="1:8" ht="30" customHeight="1">
      <c r="A20" s="319" t="s">
        <v>138</v>
      </c>
      <c r="B20" s="396" t="s">
        <v>100</v>
      </c>
      <c r="C20" s="397" t="s">
        <v>100</v>
      </c>
      <c r="D20" s="397" t="s">
        <v>101</v>
      </c>
      <c r="E20" s="316" t="s">
        <v>139</v>
      </c>
    </row>
    <row r="21" spans="1:8" ht="16" customHeight="1" thickBot="1">
      <c r="A21" s="340"/>
      <c r="B21" s="338">
        <v>40999</v>
      </c>
      <c r="C21" s="314">
        <f>'Løntabel gældende fra'!C7</f>
        <v>45748</v>
      </c>
      <c r="D21" s="314">
        <f>'Løntabel gældende fra'!C7</f>
        <v>45748</v>
      </c>
      <c r="E21" s="389" t="s">
        <v>140</v>
      </c>
    </row>
    <row r="22" spans="1:8" ht="16" customHeight="1" thickBot="1">
      <c r="A22" s="216" t="s">
        <v>143</v>
      </c>
      <c r="B22" s="356">
        <f>12*18700</f>
        <v>224400</v>
      </c>
      <c r="C22" s="220">
        <f>B22+(B22*'Løntabel gældende fra'!$D$7%)</f>
        <v>276706.51799999998</v>
      </c>
      <c r="D22" s="221">
        <f>C22/12</f>
        <v>23058.876499999998</v>
      </c>
      <c r="E22" s="450">
        <f>(D22*12)/1672*1</f>
        <v>165.49432894736842</v>
      </c>
      <c r="F22" s="212"/>
      <c r="G22" s="212"/>
    </row>
    <row r="23" spans="1:8" s="253" customFormat="1" ht="12" customHeight="1" thickBot="1">
      <c r="A23" s="40"/>
      <c r="B23" s="261"/>
      <c r="C23" s="261"/>
      <c r="D23" s="261"/>
      <c r="E23" s="217"/>
      <c r="F23" s="390"/>
      <c r="G23" s="390"/>
    </row>
    <row r="24" spans="1:8" ht="18.5" thickBot="1">
      <c r="A24" s="1091" t="s">
        <v>155</v>
      </c>
      <c r="B24" s="1092"/>
      <c r="C24" s="1092"/>
      <c r="D24" s="1092"/>
      <c r="E24" s="1145"/>
      <c r="F24" s="205"/>
      <c r="G24" s="205"/>
      <c r="H24" s="205"/>
    </row>
    <row r="25" spans="1:8" ht="31" customHeight="1" thickBot="1">
      <c r="A25" s="1056" t="s">
        <v>138</v>
      </c>
      <c r="B25" s="1085" t="s">
        <v>20</v>
      </c>
      <c r="C25" s="398" t="s">
        <v>211</v>
      </c>
      <c r="D25" s="399">
        <v>0.17299999999999999</v>
      </c>
      <c r="E25" s="406"/>
      <c r="F25" s="400"/>
      <c r="G25" s="403"/>
      <c r="H25" s="404"/>
    </row>
    <row r="26" spans="1:8" ht="45" customHeight="1" thickBot="1">
      <c r="A26" s="1254"/>
      <c r="B26" s="1103"/>
      <c r="C26" s="204" t="s">
        <v>21</v>
      </c>
      <c r="D26" s="402" t="s">
        <v>212</v>
      </c>
      <c r="E26" s="397" t="s">
        <v>22</v>
      </c>
      <c r="F26" s="1737"/>
      <c r="G26" s="1737"/>
      <c r="H26" s="405"/>
    </row>
    <row r="27" spans="1:8" ht="16" customHeight="1">
      <c r="A27" s="346">
        <v>1</v>
      </c>
      <c r="B27" s="160">
        <f>E8</f>
        <v>27954.263649999997</v>
      </c>
      <c r="C27" s="160">
        <f>E27*1/3</f>
        <v>1612.0292038166663</v>
      </c>
      <c r="D27" s="337">
        <f>E27*2/3</f>
        <v>3224.0584076333325</v>
      </c>
      <c r="E27" s="160">
        <f>B27*$D$25</f>
        <v>4836.0876114499988</v>
      </c>
      <c r="F27" s="400"/>
      <c r="G27" s="401"/>
      <c r="H27" s="253"/>
    </row>
    <row r="28" spans="1:8" ht="16" customHeight="1">
      <c r="A28" s="407">
        <v>2</v>
      </c>
      <c r="B28" s="180">
        <f>E9</f>
        <v>31197.303499999998</v>
      </c>
      <c r="C28" s="180">
        <f>E28*1/3</f>
        <v>1799.044501833333</v>
      </c>
      <c r="D28" s="344">
        <f>E28*2/3</f>
        <v>3598.089003666666</v>
      </c>
      <c r="E28" s="180">
        <f>B28*$D$25</f>
        <v>5397.133505499999</v>
      </c>
      <c r="F28" s="400"/>
      <c r="G28" s="401"/>
      <c r="H28" s="253"/>
    </row>
    <row r="29" spans="1:8" ht="16" customHeight="1">
      <c r="A29" s="407">
        <v>3</v>
      </c>
      <c r="B29" s="180">
        <f>E10</f>
        <v>34428.0124</v>
      </c>
      <c r="C29" s="180">
        <f>E29*1/3</f>
        <v>1985.3487150666663</v>
      </c>
      <c r="D29" s="344">
        <f>E29*2/3</f>
        <v>3970.6974301333325</v>
      </c>
      <c r="E29" s="180">
        <f>B29*$D$25</f>
        <v>5956.046145199999</v>
      </c>
      <c r="F29" s="400"/>
      <c r="G29" s="401"/>
      <c r="H29" s="253"/>
    </row>
    <row r="30" spans="1:8" ht="16" customHeight="1" thickBot="1">
      <c r="A30" s="348">
        <v>4</v>
      </c>
      <c r="B30" s="161">
        <f>E11</f>
        <v>36006.374000000003</v>
      </c>
      <c r="C30" s="161">
        <f>E30*1/3</f>
        <v>2076.3675673333332</v>
      </c>
      <c r="D30" s="342">
        <f>E30*2/3</f>
        <v>4152.7351346666665</v>
      </c>
      <c r="E30" s="161">
        <f>B30*$D$25</f>
        <v>6229.1027020000001</v>
      </c>
      <c r="F30" s="400"/>
      <c r="G30" s="401"/>
      <c r="H30" s="253"/>
    </row>
    <row r="31" spans="1:8" ht="12" customHeight="1" thickBot="1">
      <c r="A31" s="40"/>
      <c r="B31" s="222"/>
      <c r="C31" s="222"/>
      <c r="D31" s="222"/>
      <c r="E31" s="217"/>
      <c r="F31" s="212"/>
      <c r="G31" s="212"/>
    </row>
    <row r="32" spans="1:8" ht="26.25" customHeight="1" thickBot="1">
      <c r="A32" s="1738" t="s">
        <v>156</v>
      </c>
      <c r="B32" s="1739"/>
      <c r="C32" s="1739"/>
      <c r="D32" s="1739"/>
      <c r="E32" s="1740"/>
      <c r="F32" s="106" t="s">
        <v>92</v>
      </c>
      <c r="G32" s="212"/>
    </row>
    <row r="33" spans="1:8" ht="29" customHeight="1" thickBot="1">
      <c r="A33" s="1075" t="s">
        <v>154</v>
      </c>
      <c r="B33" s="1076"/>
      <c r="C33" s="1076"/>
      <c r="D33" s="1076"/>
      <c r="E33" s="1732"/>
      <c r="F33" s="442">
        <v>160</v>
      </c>
      <c r="G33" s="212"/>
    </row>
    <row r="34" spans="1:8" ht="4.5" customHeight="1">
      <c r="A34" s="394"/>
      <c r="B34" s="394"/>
      <c r="C34" s="394"/>
      <c r="D34" s="394"/>
      <c r="E34" s="394"/>
      <c r="F34" s="395"/>
      <c r="G34" s="212"/>
    </row>
    <row r="35" spans="1:8" s="237" customFormat="1" ht="28" customHeight="1">
      <c r="A35" s="1734" t="s">
        <v>145</v>
      </c>
      <c r="B35" s="1734"/>
      <c r="C35" s="1734"/>
      <c r="D35" s="1734"/>
      <c r="E35" s="1734"/>
      <c r="F35" s="1734"/>
      <c r="G35" s="1734"/>
    </row>
    <row r="36" spans="1:8" s="237" customFormat="1" ht="30" customHeight="1">
      <c r="A36" s="1735" t="s">
        <v>146</v>
      </c>
      <c r="B36" s="1735"/>
      <c r="C36" s="1735"/>
      <c r="D36" s="1735"/>
      <c r="E36" s="1735"/>
      <c r="F36" s="1735"/>
      <c r="G36" s="1735"/>
      <c r="H36" s="408"/>
    </row>
    <row r="37" spans="1:8" s="237" customFormat="1" ht="32.25" customHeight="1">
      <c r="A37" s="1736" t="s">
        <v>147</v>
      </c>
      <c r="B37" s="1736"/>
      <c r="C37" s="1736"/>
      <c r="D37" s="1736"/>
      <c r="E37" s="1736"/>
      <c r="F37" s="1736"/>
      <c r="G37" s="1736"/>
    </row>
    <row r="39" spans="1:8" ht="13">
      <c r="A39" s="223"/>
      <c r="B39" s="223"/>
    </row>
    <row r="40" spans="1:8" ht="13">
      <c r="A40" s="223"/>
      <c r="B40" s="223"/>
      <c r="C40" s="224"/>
    </row>
    <row r="41" spans="1:8">
      <c r="C41" s="225"/>
    </row>
    <row r="42" spans="1:8">
      <c r="C42" s="225"/>
    </row>
    <row r="43" spans="1:8">
      <c r="C43" s="225"/>
    </row>
    <row r="44" spans="1:8">
      <c r="C44" s="226"/>
    </row>
  </sheetData>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topLeftCell="A52" zoomScaleNormal="125" zoomScaleSheetLayoutView="100" zoomScalePageLayoutView="125" workbookViewId="0">
      <selection activeCell="D14" sqref="D14"/>
    </sheetView>
  </sheetViews>
  <sheetFormatPr defaultColWidth="8.81640625" defaultRowHeight="12.5"/>
  <cols>
    <col min="1" max="1" width="9" style="211" customWidth="1"/>
    <col min="2" max="2" width="11.6328125" style="211" customWidth="1"/>
    <col min="3" max="3" width="11.08984375" style="211" customWidth="1"/>
    <col min="4" max="4" width="11.36328125" style="211" customWidth="1"/>
    <col min="5" max="5" width="10.6328125" style="211" customWidth="1"/>
    <col min="6" max="6" width="11.6328125" style="211" customWidth="1"/>
    <col min="7" max="7" width="12.08984375" style="211" customWidth="1"/>
    <col min="8" max="8" width="11.08984375" style="211" customWidth="1"/>
    <col min="9" max="9" width="11.36328125" style="211" customWidth="1"/>
    <col min="10" max="10" width="11.81640625" style="211" customWidth="1"/>
    <col min="11" max="16384" width="8.81640625" style="211"/>
  </cols>
  <sheetData>
    <row r="1" spans="1:16" ht="20">
      <c r="A1" s="1186" t="s">
        <v>19</v>
      </c>
      <c r="B1" s="1187"/>
      <c r="C1" s="1187"/>
      <c r="D1" s="1187"/>
      <c r="E1" s="1187"/>
      <c r="F1" s="1187"/>
      <c r="G1" s="1187"/>
      <c r="H1" s="1187"/>
      <c r="I1" s="1187"/>
      <c r="J1" s="1188"/>
    </row>
    <row r="2" spans="1:16" ht="38" customHeight="1">
      <c r="A2" s="1720" t="s">
        <v>189</v>
      </c>
      <c r="B2" s="1721"/>
      <c r="C2" s="1721"/>
      <c r="D2" s="1721"/>
      <c r="E2" s="1721"/>
      <c r="F2" s="1721"/>
      <c r="G2" s="1721"/>
      <c r="H2" s="1721"/>
      <c r="I2" s="1721"/>
      <c r="J2" s="1722"/>
    </row>
    <row r="3" spans="1:16" ht="20">
      <c r="A3" s="1199" t="str">
        <f>'Forside 1'!A6:I6</f>
        <v>Gældende fra 1. april 2025</v>
      </c>
      <c r="B3" s="1200"/>
      <c r="C3" s="1200"/>
      <c r="D3" s="1200"/>
      <c r="E3" s="1200"/>
      <c r="F3" s="1200"/>
      <c r="G3" s="1200"/>
      <c r="H3" s="1200"/>
      <c r="I3" s="1200"/>
      <c r="J3" s="1201"/>
    </row>
    <row r="4" spans="1:16" ht="17" customHeight="1">
      <c r="A4" s="1753" t="s">
        <v>438</v>
      </c>
      <c r="B4" s="1754"/>
      <c r="C4" s="1754"/>
      <c r="D4" s="1754"/>
      <c r="E4" s="1754"/>
      <c r="F4" s="1754"/>
      <c r="G4" s="1754"/>
      <c r="H4" s="1754"/>
      <c r="I4" s="1754"/>
      <c r="J4" s="1755"/>
    </row>
    <row r="5" spans="1:16" ht="8" customHeight="1">
      <c r="A5" s="1753" t="s">
        <v>437</v>
      </c>
      <c r="B5" s="1754"/>
      <c r="C5" s="1754"/>
      <c r="D5" s="1754"/>
      <c r="E5" s="1754"/>
      <c r="F5" s="1754"/>
      <c r="G5" s="1754"/>
      <c r="H5" s="1754"/>
      <c r="I5" s="1754"/>
      <c r="J5" s="1755"/>
      <c r="L5" s="238"/>
      <c r="M5" s="237"/>
      <c r="N5" s="237"/>
      <c r="O5" s="237"/>
      <c r="P5" s="237"/>
    </row>
    <row r="6" spans="1:16" ht="7" customHeight="1" thickBot="1">
      <c r="A6" s="1756"/>
      <c r="B6" s="1757"/>
      <c r="C6" s="1757"/>
      <c r="D6" s="1757"/>
      <c r="E6" s="1757"/>
      <c r="F6" s="1757"/>
      <c r="G6" s="1757"/>
      <c r="H6" s="1757"/>
      <c r="I6" s="1757"/>
      <c r="J6" s="1758"/>
      <c r="L6" s="238"/>
      <c r="M6" s="237"/>
      <c r="N6" s="237"/>
      <c r="O6" s="237"/>
      <c r="P6" s="237"/>
    </row>
    <row r="7" spans="1:16" s="253" customFormat="1" ht="18" customHeight="1" thickBot="1">
      <c r="A7" s="519"/>
      <c r="B7" s="519"/>
      <c r="C7" s="519"/>
      <c r="D7" s="519"/>
      <c r="E7" s="519"/>
      <c r="F7" s="519"/>
      <c r="G7" s="520"/>
      <c r="H7" s="520"/>
      <c r="I7" s="520"/>
      <c r="J7" s="520"/>
      <c r="L7" s="521"/>
      <c r="M7" s="263"/>
      <c r="N7" s="263"/>
      <c r="O7" s="263"/>
      <c r="P7" s="263"/>
    </row>
    <row r="8" spans="1:16" ht="21" customHeight="1" thickBot="1">
      <c r="A8" s="1723" t="s">
        <v>433</v>
      </c>
      <c r="B8" s="1724"/>
      <c r="C8" s="1724"/>
      <c r="D8" s="1724"/>
      <c r="E8" s="1724"/>
      <c r="F8" s="1725"/>
      <c r="G8" s="1611" t="s">
        <v>168</v>
      </c>
      <c r="H8" s="1612"/>
      <c r="I8" s="1612"/>
      <c r="J8" s="1613"/>
      <c r="L8" s="238"/>
      <c r="M8" s="237"/>
      <c r="N8" s="237"/>
      <c r="O8" s="237"/>
      <c r="P8" s="237"/>
    </row>
    <row r="9" spans="1:16" ht="26">
      <c r="A9" s="435" t="s">
        <v>57</v>
      </c>
      <c r="B9" s="435" t="s">
        <v>75</v>
      </c>
      <c r="C9" s="438" t="s">
        <v>76</v>
      </c>
      <c r="D9" s="435" t="s">
        <v>77</v>
      </c>
      <c r="E9" s="435" t="s">
        <v>78</v>
      </c>
      <c r="F9" s="435" t="s">
        <v>79</v>
      </c>
      <c r="G9" s="439" t="s">
        <v>185</v>
      </c>
      <c r="H9" s="440" t="s">
        <v>186</v>
      </c>
      <c r="I9" s="440" t="s">
        <v>187</v>
      </c>
      <c r="J9" s="441">
        <v>0.15</v>
      </c>
    </row>
    <row r="10" spans="1:16" ht="16" customHeight="1">
      <c r="A10" s="289">
        <v>14</v>
      </c>
      <c r="B10" s="582">
        <f>'Statens skalatrin'!D46</f>
        <v>23388.83</v>
      </c>
      <c r="C10" s="582">
        <f>'Statens skalatrin'!F46</f>
        <v>23875.919999999998</v>
      </c>
      <c r="D10" s="582">
        <f>'Statens skalatrin'!H46</f>
        <v>24213.08</v>
      </c>
      <c r="E10" s="582">
        <f>'Statens skalatrin'!J46</f>
        <v>24700</v>
      </c>
      <c r="F10" s="582">
        <f>'Statens skalatrin'!L46</f>
        <v>25037.17</v>
      </c>
      <c r="G10" s="1743">
        <f>'Statens skalatrin'!O46+(F21/12)</f>
        <v>22273.724166666667</v>
      </c>
      <c r="H10" s="1743">
        <f>ROUND(J10*1/3,2)</f>
        <v>1113.69</v>
      </c>
      <c r="I10" s="1743">
        <f>ROUND(J10*2/3,2)</f>
        <v>2227.37</v>
      </c>
      <c r="J10" s="1743">
        <f>ROUND(G10*$J$9,2)</f>
        <v>3341.06</v>
      </c>
    </row>
    <row r="11" spans="1:16" ht="16" customHeight="1">
      <c r="A11" s="352" t="s">
        <v>209</v>
      </c>
      <c r="B11" s="455">
        <f>B10+($F$21/12)</f>
        <v>23794.724166666667</v>
      </c>
      <c r="C11" s="455">
        <f t="shared" ref="C11:F11" si="0">C10+($F$21/12)</f>
        <v>24281.814166666663</v>
      </c>
      <c r="D11" s="455">
        <f t="shared" si="0"/>
        <v>24618.974166666667</v>
      </c>
      <c r="E11" s="455">
        <f t="shared" si="0"/>
        <v>25105.894166666665</v>
      </c>
      <c r="F11" s="455">
        <f t="shared" si="0"/>
        <v>25443.064166666663</v>
      </c>
      <c r="G11" s="1744"/>
      <c r="H11" s="1744"/>
      <c r="I11" s="1744"/>
      <c r="J11" s="1744"/>
    </row>
    <row r="12" spans="1:16" ht="16" customHeight="1">
      <c r="A12" s="289">
        <v>17</v>
      </c>
      <c r="B12" s="455">
        <f>'Statens skalatrin'!D55</f>
        <v>24559.67</v>
      </c>
      <c r="C12" s="455">
        <f>'Statens skalatrin'!F55</f>
        <v>25084.67</v>
      </c>
      <c r="D12" s="583">
        <f>'Statens skalatrin'!H55</f>
        <v>25448.080000000002</v>
      </c>
      <c r="E12" s="455">
        <f>'Statens skalatrin'!J55</f>
        <v>25973</v>
      </c>
      <c r="F12" s="455">
        <f>'Statens skalatrin'!L55</f>
        <v>26336.25</v>
      </c>
      <c r="G12" s="1743">
        <f>'Statens skalatrin'!O55+(F22/12)</f>
        <v>23300.778333333335</v>
      </c>
      <c r="H12" s="1743">
        <f>ROUND(J12*1/3,2)</f>
        <v>1165.04</v>
      </c>
      <c r="I12" s="1743">
        <f>ROUND(J12*2/3,2)</f>
        <v>2330.08</v>
      </c>
      <c r="J12" s="1743">
        <f>ROUND(G12*$J$9,2)</f>
        <v>3495.12</v>
      </c>
    </row>
    <row r="13" spans="1:16" ht="16" customHeight="1">
      <c r="A13" s="903" t="s">
        <v>531</v>
      </c>
      <c r="B13" s="583">
        <f>B12+($F$22/12)</f>
        <v>24793.958333333332</v>
      </c>
      <c r="C13" s="583">
        <f>C12+($F$22/12)</f>
        <v>25318.958333333332</v>
      </c>
      <c r="D13" s="583">
        <f>D12+($F$22/12)</f>
        <v>25682.368333333336</v>
      </c>
      <c r="E13" s="583">
        <f>E12+($F$22/12)</f>
        <v>26207.288333333334</v>
      </c>
      <c r="F13" s="583">
        <f>F12+($F$22/12)</f>
        <v>26570.538333333334</v>
      </c>
      <c r="G13" s="1744"/>
      <c r="H13" s="1744"/>
      <c r="I13" s="1744"/>
      <c r="J13" s="1744"/>
    </row>
    <row r="14" spans="1:16" ht="16" customHeight="1">
      <c r="A14" s="903">
        <v>21</v>
      </c>
      <c r="B14" s="583">
        <f>'Statens skalatrin'!D67</f>
        <v>26120.25</v>
      </c>
      <c r="C14" s="583">
        <f>'Statens skalatrin'!F67</f>
        <v>26700.75</v>
      </c>
      <c r="D14" s="583">
        <f>'Statens skalatrin'!H67</f>
        <v>27102.58</v>
      </c>
      <c r="E14" s="583">
        <f>'Statens skalatrin'!J67</f>
        <v>27683.08</v>
      </c>
      <c r="F14" s="583">
        <f>'Statens skalatrin'!L67</f>
        <v>28085</v>
      </c>
      <c r="G14" s="1743">
        <f>'Statens skalatrin'!O67+(F23/12)</f>
        <v>25190.418333333331</v>
      </c>
      <c r="H14" s="1743">
        <f>ROUND(J14*1/3,2)</f>
        <v>1259.52</v>
      </c>
      <c r="I14" s="1743">
        <f>ROUND(J14*2/3,2)</f>
        <v>2519.04</v>
      </c>
      <c r="J14" s="1743">
        <f>ROUND(G14*$J$9,2)</f>
        <v>3778.56</v>
      </c>
    </row>
    <row r="15" spans="1:16" ht="16" customHeight="1" thickBot="1">
      <c r="A15" s="904" t="s">
        <v>460</v>
      </c>
      <c r="B15" s="584">
        <f>B14+($F$23/12)</f>
        <v>26486.068333333333</v>
      </c>
      <c r="C15" s="584">
        <f>C14+($F$23/12)</f>
        <v>27066.568333333333</v>
      </c>
      <c r="D15" s="584">
        <f>D14+($F$23/12)</f>
        <v>27468.398333333334</v>
      </c>
      <c r="E15" s="584">
        <f>E14+($F$23/12)</f>
        <v>28048.898333333334</v>
      </c>
      <c r="F15" s="584">
        <f>F14+($F$23/12)</f>
        <v>28450.818333333333</v>
      </c>
      <c r="G15" s="1746"/>
      <c r="H15" s="1746"/>
      <c r="I15" s="1746"/>
      <c r="J15" s="1746"/>
    </row>
    <row r="16" spans="1:16" ht="17" customHeight="1" thickBot="1">
      <c r="A16" s="237"/>
      <c r="B16" s="231"/>
      <c r="C16" s="231"/>
      <c r="D16" s="231"/>
      <c r="E16" s="231"/>
      <c r="F16" s="231"/>
      <c r="G16" s="254"/>
      <c r="H16" s="255"/>
      <c r="I16" s="256"/>
      <c r="J16" s="256"/>
    </row>
    <row r="17" spans="1:10" ht="21" customHeight="1">
      <c r="A17" s="1078" t="s">
        <v>163</v>
      </c>
      <c r="B17" s="1079"/>
      <c r="C17" s="1079"/>
      <c r="D17" s="1079"/>
      <c r="E17" s="1079"/>
      <c r="F17" s="1080"/>
      <c r="G17" s="205"/>
      <c r="H17" s="205"/>
      <c r="I17" s="205"/>
      <c r="J17" s="227"/>
    </row>
    <row r="18" spans="1:10" ht="21" customHeight="1" thickBot="1">
      <c r="A18" s="1158" t="s">
        <v>532</v>
      </c>
      <c r="B18" s="1159"/>
      <c r="C18" s="1159"/>
      <c r="D18" s="1159"/>
      <c r="E18" s="1159"/>
      <c r="F18" s="1160"/>
      <c r="G18" s="205"/>
      <c r="H18" s="205"/>
      <c r="I18" s="205"/>
      <c r="J18" s="227"/>
    </row>
    <row r="19" spans="1:10" ht="27" customHeight="1">
      <c r="A19" s="1767" t="s">
        <v>530</v>
      </c>
      <c r="B19" s="1768"/>
      <c r="C19" s="1768"/>
      <c r="D19" s="1768"/>
      <c r="E19" s="880" t="s">
        <v>131</v>
      </c>
      <c r="F19" s="881" t="s">
        <v>310</v>
      </c>
      <c r="G19" s="248"/>
      <c r="H19" s="237"/>
      <c r="I19" s="237"/>
      <c r="J19" s="227"/>
    </row>
    <row r="20" spans="1:10" ht="15" customHeight="1">
      <c r="A20" s="1700"/>
      <c r="B20" s="1701"/>
      <c r="C20" s="1701"/>
      <c r="D20" s="1701"/>
      <c r="E20" s="522">
        <v>40999</v>
      </c>
      <c r="F20" s="889" t="str">
        <f>'Løntabel gældende fra'!D1</f>
        <v>01-04-2025</v>
      </c>
      <c r="G20" s="248"/>
      <c r="H20" s="237"/>
      <c r="I20" s="237"/>
      <c r="J20" s="227"/>
    </row>
    <row r="21" spans="1:10" ht="15" customHeight="1">
      <c r="A21" s="1710" t="s">
        <v>458</v>
      </c>
      <c r="B21" s="1711"/>
      <c r="C21" s="1711"/>
      <c r="D21" s="1745"/>
      <c r="E21" s="901">
        <v>3950</v>
      </c>
      <c r="F21" s="902">
        <f>ROUND(E21+(E21*'Løntabel gældende fra'!$D$7%),2)</f>
        <v>4870.7299999999996</v>
      </c>
      <c r="G21" s="248"/>
      <c r="H21" s="237"/>
      <c r="I21" s="237"/>
      <c r="J21" s="227"/>
    </row>
    <row r="22" spans="1:10" ht="16" customHeight="1">
      <c r="A22" s="1710" t="s">
        <v>529</v>
      </c>
      <c r="B22" s="1711"/>
      <c r="C22" s="1711"/>
      <c r="D22" s="1745"/>
      <c r="E22" s="901">
        <v>2280</v>
      </c>
      <c r="F22" s="902">
        <f>ROUND(E22+(E22*'Løntabel gældende fra'!$D$7%),2)</f>
        <v>2811.46</v>
      </c>
      <c r="G22" s="248"/>
      <c r="H22" s="237"/>
      <c r="I22" s="237"/>
      <c r="J22" s="227"/>
    </row>
    <row r="23" spans="1:10" ht="16" customHeight="1" thickBot="1">
      <c r="A23" s="1703" t="s">
        <v>459</v>
      </c>
      <c r="B23" s="1704"/>
      <c r="C23" s="1704"/>
      <c r="D23" s="1777"/>
      <c r="E23" s="958">
        <v>3560</v>
      </c>
      <c r="F23" s="959">
        <f>ROUND(E23+(E23*'Løntabel gældende fra'!$D$7%),2)</f>
        <v>4389.82</v>
      </c>
      <c r="G23" s="248"/>
      <c r="H23" s="237"/>
      <c r="I23" s="237"/>
      <c r="J23" s="227"/>
    </row>
    <row r="24" spans="1:10" ht="16" customHeight="1" thickBot="1">
      <c r="A24" s="1778"/>
      <c r="B24" s="1779"/>
      <c r="C24" s="1779"/>
      <c r="D24" s="1779"/>
      <c r="E24" s="1779"/>
      <c r="F24" s="1779"/>
      <c r="G24" s="1779"/>
      <c r="H24" s="1779"/>
      <c r="I24" s="1779"/>
      <c r="J24" s="1779"/>
    </row>
    <row r="25" spans="1:10" s="227" customFormat="1" ht="27" customHeight="1">
      <c r="A25" s="1058" t="s">
        <v>191</v>
      </c>
      <c r="B25" s="1212"/>
      <c r="C25" s="1212"/>
      <c r="D25" s="1212"/>
      <c r="E25" s="1212"/>
      <c r="F25" s="1212"/>
      <c r="G25" s="1213"/>
    </row>
    <row r="26" spans="1:10" s="227" customFormat="1" ht="16" customHeight="1" thickBot="1">
      <c r="A26" s="1068" t="s">
        <v>284</v>
      </c>
      <c r="B26" s="1069"/>
      <c r="C26" s="1069"/>
      <c r="D26" s="1069"/>
      <c r="E26" s="1069"/>
      <c r="F26" s="1069"/>
      <c r="G26" s="1070"/>
    </row>
    <row r="27" spans="1:10" s="227" customFormat="1" ht="15.5">
      <c r="A27" s="1627"/>
      <c r="B27" s="1628"/>
      <c r="C27" s="1629"/>
      <c r="D27" s="1680" t="s">
        <v>311</v>
      </c>
      <c r="E27" s="1680"/>
      <c r="F27" s="1609" t="s">
        <v>312</v>
      </c>
      <c r="G27" s="1610"/>
    </row>
    <row r="28" spans="1:10" s="227" customFormat="1" ht="13" customHeight="1" thickBot="1">
      <c r="A28" s="1630"/>
      <c r="B28" s="1631"/>
      <c r="C28" s="1632"/>
      <c r="D28" s="1616">
        <v>40999</v>
      </c>
      <c r="E28" s="1617"/>
      <c r="F28" s="1607" t="str">
        <f>'Løntabel gældende fra'!$D$1</f>
        <v>01-04-2025</v>
      </c>
      <c r="G28" s="1608"/>
    </row>
    <row r="29" spans="1:10" s="227" customFormat="1" ht="16" customHeight="1" thickBot="1">
      <c r="A29" s="1747" t="s">
        <v>162</v>
      </c>
      <c r="B29" s="1748"/>
      <c r="C29" s="1749"/>
      <c r="D29" s="1750">
        <v>148</v>
      </c>
      <c r="E29" s="1751"/>
      <c r="F29" s="1752">
        <f>ROUND(+D29*(1+'Løntabel gældende fra'!$D$7/100),2)</f>
        <v>182.5</v>
      </c>
      <c r="G29" s="1751"/>
    </row>
    <row r="30" spans="1:10" ht="15" customHeight="1" thickBot="1">
      <c r="A30" s="246"/>
      <c r="B30" s="245"/>
      <c r="C30" s="245"/>
      <c r="D30" s="245"/>
      <c r="E30" s="245"/>
      <c r="F30" s="245"/>
      <c r="G30" s="237"/>
      <c r="H30" s="236"/>
      <c r="I30" s="236"/>
      <c r="J30" s="227"/>
    </row>
    <row r="31" spans="1:10" s="227" customFormat="1" ht="27" customHeight="1">
      <c r="A31" s="1058" t="s">
        <v>446</v>
      </c>
      <c r="B31" s="1212"/>
      <c r="C31" s="1212"/>
      <c r="D31" s="1212"/>
      <c r="E31" s="1212"/>
      <c r="F31" s="1212"/>
      <c r="G31" s="1213"/>
    </row>
    <row r="32" spans="1:10" s="227" customFormat="1" ht="16" customHeight="1" thickBot="1">
      <c r="A32" s="1068" t="s">
        <v>284</v>
      </c>
      <c r="B32" s="1069"/>
      <c r="C32" s="1069"/>
      <c r="D32" s="1069"/>
      <c r="E32" s="1069"/>
      <c r="F32" s="1069"/>
      <c r="G32" s="1070"/>
    </row>
    <row r="33" spans="1:10" s="227" customFormat="1" ht="15.5">
      <c r="A33" s="1627"/>
      <c r="B33" s="1628"/>
      <c r="C33" s="1629"/>
      <c r="D33" s="1680" t="s">
        <v>311</v>
      </c>
      <c r="E33" s="1680"/>
      <c r="F33" s="1609" t="s">
        <v>312</v>
      </c>
      <c r="G33" s="1610"/>
    </row>
    <row r="34" spans="1:10" s="227" customFormat="1" ht="13" customHeight="1" thickBot="1">
      <c r="A34" s="1630"/>
      <c r="B34" s="1631"/>
      <c r="C34" s="1632"/>
      <c r="D34" s="1616">
        <v>40999</v>
      </c>
      <c r="E34" s="1617"/>
      <c r="F34" s="1607" t="str">
        <f>'Løntabel gældende fra'!$D$1</f>
        <v>01-04-2025</v>
      </c>
      <c r="G34" s="1608"/>
    </row>
    <row r="35" spans="1:10" s="227" customFormat="1" ht="16" customHeight="1">
      <c r="A35" s="1761" t="s">
        <v>158</v>
      </c>
      <c r="B35" s="1762"/>
      <c r="C35" s="1763"/>
      <c r="D35" s="1741">
        <f>D29*66%</f>
        <v>97.68</v>
      </c>
      <c r="E35" s="1742"/>
      <c r="F35" s="1741">
        <f>F29*66%</f>
        <v>120.45</v>
      </c>
      <c r="G35" s="1742"/>
    </row>
    <row r="36" spans="1:10" s="227" customFormat="1" ht="16" customHeight="1" thickBot="1">
      <c r="A36" s="1618" t="s">
        <v>159</v>
      </c>
      <c r="B36" s="1619"/>
      <c r="C36" s="1620"/>
      <c r="D36" s="1780">
        <f>D29*74%</f>
        <v>109.52</v>
      </c>
      <c r="E36" s="1781"/>
      <c r="F36" s="1780">
        <f>F29*74%</f>
        <v>135.05000000000001</v>
      </c>
      <c r="G36" s="1781"/>
    </row>
    <row r="37" spans="1:10" ht="15" customHeight="1" thickBot="1">
      <c r="A37" s="246"/>
      <c r="B37" s="245"/>
      <c r="C37" s="245"/>
      <c r="D37" s="245"/>
      <c r="E37" s="245"/>
      <c r="F37" s="245"/>
      <c r="G37" s="237"/>
      <c r="H37" s="236"/>
      <c r="I37" s="236"/>
      <c r="J37" s="227"/>
    </row>
    <row r="38" spans="1:10" ht="20" customHeight="1">
      <c r="A38" s="1078" t="s">
        <v>172</v>
      </c>
      <c r="B38" s="1079"/>
      <c r="C38" s="1079"/>
      <c r="D38" s="1079"/>
      <c r="E38" s="1079"/>
      <c r="F38" s="1079"/>
      <c r="G38" s="1079"/>
      <c r="H38" s="1079"/>
      <c r="I38" s="1080"/>
      <c r="J38" s="227"/>
    </row>
    <row r="39" spans="1:10" ht="20" customHeight="1" thickBot="1">
      <c r="A39" s="1158" t="s">
        <v>284</v>
      </c>
      <c r="B39" s="1159"/>
      <c r="C39" s="1159"/>
      <c r="D39" s="1159"/>
      <c r="E39" s="1159"/>
      <c r="F39" s="1159"/>
      <c r="G39" s="1159"/>
      <c r="H39" s="1159"/>
      <c r="I39" s="1160"/>
      <c r="J39" s="227"/>
    </row>
    <row r="40" spans="1:10" ht="27" customHeight="1" thickBot="1">
      <c r="A40" s="1759"/>
      <c r="B40" s="1760"/>
      <c r="C40" s="1760"/>
      <c r="D40" s="1760"/>
      <c r="E40" s="1760"/>
      <c r="F40" s="1760"/>
      <c r="G40" s="1760"/>
      <c r="H40" s="575" t="s">
        <v>311</v>
      </c>
      <c r="I40" s="578" t="s">
        <v>312</v>
      </c>
      <c r="J40" s="227"/>
    </row>
    <row r="41" spans="1:10" ht="15" customHeight="1" thickBot="1">
      <c r="A41" s="1707"/>
      <c r="B41" s="1708"/>
      <c r="C41" s="1708"/>
      <c r="D41" s="1708"/>
      <c r="E41" s="1708"/>
      <c r="F41" s="1708"/>
      <c r="G41" s="1709"/>
      <c r="H41" s="525">
        <v>40999</v>
      </c>
      <c r="I41" s="526" t="str">
        <f>'Løntabel gældende fra'!D1</f>
        <v>01-04-2025</v>
      </c>
      <c r="J41" s="227"/>
    </row>
    <row r="42" spans="1:10" ht="15" customHeight="1">
      <c r="A42" s="1710" t="s">
        <v>173</v>
      </c>
      <c r="B42" s="1711"/>
      <c r="C42" s="1711"/>
      <c r="D42" s="1711"/>
      <c r="E42" s="1711"/>
      <c r="F42" s="232"/>
      <c r="G42" s="234" t="s">
        <v>165</v>
      </c>
      <c r="H42" s="296">
        <v>22.32</v>
      </c>
      <c r="I42" s="835">
        <f>ROUND(H42+(H42*'Løntabel gældende fra'!$D$7%),2)</f>
        <v>27.52</v>
      </c>
      <c r="J42" s="227"/>
    </row>
    <row r="43" spans="1:10" ht="15" customHeight="1">
      <c r="A43" s="1718" t="s">
        <v>174</v>
      </c>
      <c r="B43" s="1719"/>
      <c r="C43" s="1719"/>
      <c r="D43" s="1719"/>
      <c r="E43" s="1719"/>
      <c r="F43" s="252"/>
      <c r="G43" s="235" t="s">
        <v>165</v>
      </c>
      <c r="H43" s="298">
        <v>39.92</v>
      </c>
      <c r="I43" s="836">
        <f>ROUND(H43+(H43*'Løntabel gældende fra'!$D$7%),2)</f>
        <v>49.23</v>
      </c>
      <c r="J43" s="227"/>
    </row>
    <row r="44" spans="1:10" ht="26" customHeight="1">
      <c r="A44" s="1710" t="s">
        <v>175</v>
      </c>
      <c r="B44" s="1711"/>
      <c r="C44" s="1711"/>
      <c r="D44" s="1711"/>
      <c r="E44" s="1711"/>
      <c r="F44" s="1711"/>
      <c r="G44" s="235" t="s">
        <v>165</v>
      </c>
      <c r="H44" s="298">
        <v>39.92</v>
      </c>
      <c r="I44" s="836">
        <f>ROUND(H44+(H44*'Løntabel gældende fra'!$D$7%),2)</f>
        <v>49.23</v>
      </c>
      <c r="J44" s="227"/>
    </row>
    <row r="45" spans="1:10" ht="15" customHeight="1" thickBot="1">
      <c r="A45" s="265" t="s">
        <v>164</v>
      </c>
      <c r="B45" s="264"/>
      <c r="C45" s="264"/>
      <c r="D45" s="264"/>
      <c r="E45" s="249"/>
      <c r="F45" s="249"/>
      <c r="G45" s="259" t="s">
        <v>165</v>
      </c>
      <c r="H45" s="300">
        <v>39.92</v>
      </c>
      <c r="I45" s="837">
        <f>ROUND(H45+(H45*'Løntabel gældende fra'!$D$7%),2)</f>
        <v>49.23</v>
      </c>
      <c r="J45" s="227"/>
    </row>
    <row r="46" spans="1:10" ht="15" customHeight="1" thickBot="1">
      <c r="A46" s="258"/>
      <c r="B46" s="258"/>
      <c r="C46" s="258"/>
      <c r="D46" s="258"/>
      <c r="E46" s="258"/>
      <c r="F46" s="258"/>
      <c r="G46" s="258"/>
      <c r="H46" s="222"/>
      <c r="I46" s="257"/>
      <c r="J46" s="227"/>
    </row>
    <row r="47" spans="1:10" ht="21" customHeight="1">
      <c r="A47" s="1078" t="s">
        <v>294</v>
      </c>
      <c r="B47" s="1079"/>
      <c r="C47" s="1079"/>
      <c r="D47" s="1079"/>
      <c r="E47" s="1079"/>
      <c r="F47" s="1079"/>
      <c r="G47" s="1079"/>
      <c r="H47" s="1079"/>
      <c r="I47" s="1080"/>
      <c r="J47" s="237"/>
    </row>
    <row r="48" spans="1:10" ht="21" customHeight="1" thickBot="1">
      <c r="A48" s="1158" t="s">
        <v>280</v>
      </c>
      <c r="B48" s="1159"/>
      <c r="C48" s="1159"/>
      <c r="D48" s="1159"/>
      <c r="E48" s="1159"/>
      <c r="F48" s="1159"/>
      <c r="G48" s="1159"/>
      <c r="H48" s="1159"/>
      <c r="I48" s="1160"/>
      <c r="J48" s="237"/>
    </row>
    <row r="49" spans="1:10" ht="27" customHeight="1" thickBot="1">
      <c r="A49" s="1764"/>
      <c r="B49" s="1765"/>
      <c r="C49" s="1765"/>
      <c r="D49" s="1765"/>
      <c r="E49" s="1765"/>
      <c r="F49" s="1765"/>
      <c r="G49" s="1766"/>
      <c r="H49" s="575" t="s">
        <v>311</v>
      </c>
      <c r="I49" s="578" t="s">
        <v>312</v>
      </c>
      <c r="J49" s="237"/>
    </row>
    <row r="50" spans="1:10" ht="15" customHeight="1" thickBot="1">
      <c r="A50" s="1764"/>
      <c r="B50" s="1765"/>
      <c r="C50" s="1765"/>
      <c r="D50" s="1765"/>
      <c r="E50" s="1765"/>
      <c r="F50" s="1765"/>
      <c r="G50" s="1766"/>
      <c r="H50" s="525">
        <v>40999</v>
      </c>
      <c r="I50" s="526" t="str">
        <f>'Løntabel gældende fra'!D1</f>
        <v>01-04-2025</v>
      </c>
      <c r="J50" s="237"/>
    </row>
    <row r="51" spans="1:10" ht="27" customHeight="1" thickBot="1">
      <c r="A51" s="1127" t="s">
        <v>177</v>
      </c>
      <c r="B51" s="1128"/>
      <c r="C51" s="1128"/>
      <c r="D51" s="1128"/>
      <c r="E51" s="1128"/>
      <c r="F51" s="527"/>
      <c r="G51" s="528" t="s">
        <v>165</v>
      </c>
      <c r="H51" s="302">
        <v>6.88</v>
      </c>
      <c r="I51" s="295">
        <f>ROUND(H51+(H51*'Løntabel gældende fra'!D7%),2)</f>
        <v>8.48</v>
      </c>
      <c r="J51" s="237"/>
    </row>
    <row r="52" spans="1:10" ht="15" customHeight="1" thickBot="1">
      <c r="A52" s="1776"/>
      <c r="B52" s="1776"/>
      <c r="C52" s="1776"/>
      <c r="D52" s="1776"/>
      <c r="E52" s="1776"/>
      <c r="F52" s="1776"/>
      <c r="G52" s="1776"/>
      <c r="H52" s="1776"/>
      <c r="I52" s="1776"/>
      <c r="J52" s="237"/>
    </row>
    <row r="53" spans="1:10" ht="21" customHeight="1">
      <c r="A53" s="1078" t="s">
        <v>178</v>
      </c>
      <c r="B53" s="1079"/>
      <c r="C53" s="1079"/>
      <c r="D53" s="1079"/>
      <c r="E53" s="1079"/>
      <c r="F53" s="1079"/>
      <c r="G53" s="1079"/>
      <c r="H53" s="1079"/>
      <c r="I53" s="1080"/>
      <c r="J53" s="237"/>
    </row>
    <row r="54" spans="1:10" ht="21" customHeight="1" thickBot="1">
      <c r="A54" s="1158" t="s">
        <v>284</v>
      </c>
      <c r="B54" s="1159"/>
      <c r="C54" s="1159"/>
      <c r="D54" s="1159"/>
      <c r="E54" s="1159"/>
      <c r="F54" s="1159"/>
      <c r="G54" s="1159"/>
      <c r="H54" s="1159"/>
      <c r="I54" s="1160"/>
      <c r="J54" s="237"/>
    </row>
    <row r="55" spans="1:10" ht="30" customHeight="1">
      <c r="A55" s="1770"/>
      <c r="B55" s="1771"/>
      <c r="C55" s="1771"/>
      <c r="D55" s="1771"/>
      <c r="E55" s="1771"/>
      <c r="F55" s="1771"/>
      <c r="G55" s="1772"/>
      <c r="H55" s="575" t="s">
        <v>131</v>
      </c>
      <c r="I55" s="576" t="s">
        <v>310</v>
      </c>
      <c r="J55" s="237"/>
    </row>
    <row r="56" spans="1:10" ht="15" customHeight="1" thickBot="1">
      <c r="A56" s="1773"/>
      <c r="B56" s="1774"/>
      <c r="C56" s="1774"/>
      <c r="D56" s="1774"/>
      <c r="E56" s="1774"/>
      <c r="F56" s="1774"/>
      <c r="G56" s="1775"/>
      <c r="H56" s="525">
        <v>40999</v>
      </c>
      <c r="I56" s="526" t="str">
        <f>'Løntabel gældende fra'!D1</f>
        <v>01-04-2025</v>
      </c>
      <c r="J56" s="237"/>
    </row>
    <row r="57" spans="1:10" ht="15" customHeight="1" thickBot="1">
      <c r="A57" s="1127" t="s">
        <v>190</v>
      </c>
      <c r="B57" s="1128"/>
      <c r="C57" s="1128"/>
      <c r="D57" s="1128"/>
      <c r="E57" s="1128"/>
      <c r="F57" s="527"/>
      <c r="G57" s="528"/>
      <c r="H57" s="302">
        <v>655</v>
      </c>
      <c r="I57" s="295">
        <f>ROUND(H57+(H57*'Løntabel gældende fra'!D7%),2)</f>
        <v>807.68</v>
      </c>
      <c r="J57" s="237"/>
    </row>
    <row r="58" spans="1:10" ht="15" customHeight="1" thickBot="1">
      <c r="A58" s="227"/>
      <c r="B58" s="227"/>
      <c r="C58" s="227"/>
      <c r="D58" s="227"/>
      <c r="E58" s="227"/>
      <c r="F58" s="228"/>
      <c r="G58" s="227"/>
      <c r="H58" s="228"/>
      <c r="I58" s="227"/>
      <c r="J58" s="237"/>
    </row>
    <row r="59" spans="1:10" ht="21" customHeight="1">
      <c r="A59" s="1078" t="s">
        <v>295</v>
      </c>
      <c r="B59" s="1079"/>
      <c r="C59" s="1079"/>
      <c r="D59" s="1079"/>
      <c r="E59" s="1079"/>
      <c r="F59" s="1079"/>
      <c r="G59" s="1079"/>
      <c r="H59" s="1079"/>
      <c r="I59" s="1080"/>
      <c r="J59" s="237"/>
    </row>
    <row r="60" spans="1:10" ht="21" customHeight="1" thickBot="1">
      <c r="A60" s="1158" t="s">
        <v>280</v>
      </c>
      <c r="B60" s="1159"/>
      <c r="C60" s="1159"/>
      <c r="D60" s="1159"/>
      <c r="E60" s="1159"/>
      <c r="F60" s="1159"/>
      <c r="G60" s="1159"/>
      <c r="H60" s="1159"/>
      <c r="I60" s="1160"/>
      <c r="J60" s="237"/>
    </row>
    <row r="61" spans="1:10" ht="15" customHeight="1">
      <c r="A61" s="1767" t="s">
        <v>181</v>
      </c>
      <c r="B61" s="1768"/>
      <c r="C61" s="1768"/>
      <c r="D61" s="1768"/>
      <c r="E61" s="1768"/>
      <c r="F61" s="1768"/>
      <c r="G61" s="1769"/>
      <c r="H61" s="523" t="s">
        <v>98</v>
      </c>
      <c r="I61" s="524" t="s">
        <v>103</v>
      </c>
      <c r="J61" s="237"/>
    </row>
    <row r="62" spans="1:10" ht="15" customHeight="1" thickBot="1">
      <c r="A62" s="1700"/>
      <c r="B62" s="1701"/>
      <c r="C62" s="1701"/>
      <c r="D62" s="1701"/>
      <c r="E62" s="1701"/>
      <c r="F62" s="1701"/>
      <c r="G62" s="1702"/>
      <c r="H62" s="525">
        <v>40999</v>
      </c>
      <c r="I62" s="526" t="str">
        <f>'Løntabel gældende fra'!D1</f>
        <v>01-04-2025</v>
      </c>
      <c r="J62" s="237"/>
    </row>
    <row r="63" spans="1:10" ht="15" customHeight="1" thickBot="1">
      <c r="A63" s="1703" t="s">
        <v>180</v>
      </c>
      <c r="B63" s="1704"/>
      <c r="C63" s="1704"/>
      <c r="D63" s="1704"/>
      <c r="E63" s="1704"/>
      <c r="F63" s="233"/>
      <c r="G63" s="244"/>
      <c r="H63" s="302">
        <v>0</v>
      </c>
      <c r="I63" s="295">
        <v>0</v>
      </c>
      <c r="J63" s="237"/>
    </row>
    <row r="64" spans="1:10" ht="15" customHeight="1" thickBot="1">
      <c r="A64" s="227"/>
      <c r="B64" s="227"/>
      <c r="C64" s="227"/>
      <c r="D64" s="227"/>
      <c r="E64" s="227"/>
      <c r="F64" s="228"/>
      <c r="G64" s="227"/>
      <c r="H64" s="228"/>
      <c r="I64" s="227"/>
      <c r="J64" s="237"/>
    </row>
    <row r="65" spans="1:9" s="237" customFormat="1" ht="18">
      <c r="A65" s="1078" t="s">
        <v>296</v>
      </c>
      <c r="B65" s="1079"/>
      <c r="C65" s="1079"/>
      <c r="D65" s="1079"/>
      <c r="E65" s="1079"/>
      <c r="F65" s="1079"/>
      <c r="G65" s="1079"/>
      <c r="H65" s="1079"/>
      <c r="I65" s="1080"/>
    </row>
    <row r="66" spans="1:9" s="237" customFormat="1" ht="16" thickBot="1">
      <c r="A66" s="1158" t="s">
        <v>280</v>
      </c>
      <c r="B66" s="1159"/>
      <c r="C66" s="1159"/>
      <c r="D66" s="1159"/>
      <c r="E66" s="1159"/>
      <c r="F66" s="1159"/>
      <c r="G66" s="1159"/>
      <c r="H66" s="1159"/>
      <c r="I66" s="1160"/>
    </row>
    <row r="67" spans="1:9" s="237" customFormat="1" ht="26">
      <c r="A67" s="1124"/>
      <c r="B67" s="1125"/>
      <c r="C67" s="1125"/>
      <c r="D67" s="1125"/>
      <c r="E67" s="1125"/>
      <c r="F67" s="1125"/>
      <c r="G67" s="1126"/>
      <c r="H67" s="575" t="s">
        <v>131</v>
      </c>
      <c r="I67" s="576" t="s">
        <v>310</v>
      </c>
    </row>
    <row r="68" spans="1:9" s="237" customFormat="1" ht="14.5" thickBot="1">
      <c r="A68" s="1767"/>
      <c r="B68" s="1768"/>
      <c r="C68" s="1768"/>
      <c r="D68" s="1768"/>
      <c r="E68" s="1768"/>
      <c r="F68" s="1768"/>
      <c r="G68" s="1769"/>
      <c r="H68" s="525">
        <v>40999</v>
      </c>
      <c r="I68" s="526" t="str">
        <f>'Løntabel gældende fra'!D1</f>
        <v>01-04-2025</v>
      </c>
    </row>
    <row r="69" spans="1:9" s="237" customFormat="1" ht="14.5" thickBot="1">
      <c r="A69" s="1127" t="s">
        <v>184</v>
      </c>
      <c r="B69" s="1128"/>
      <c r="C69" s="1128"/>
      <c r="D69" s="1128"/>
      <c r="E69" s="1128"/>
      <c r="F69" s="527"/>
      <c r="G69" s="528"/>
      <c r="H69" s="302">
        <v>10500</v>
      </c>
      <c r="I69" s="303">
        <f>ROUND(H69+(H69*'Løntabel gældende fra'!D7%),2)</f>
        <v>12947.5</v>
      </c>
    </row>
    <row r="70" spans="1:9" s="263" customFormat="1" ht="14">
      <c r="A70" s="260"/>
      <c r="B70" s="260"/>
      <c r="C70" s="260"/>
      <c r="D70" s="260"/>
      <c r="E70" s="260"/>
      <c r="F70" s="248"/>
      <c r="G70" s="248"/>
      <c r="H70" s="261"/>
      <c r="I70" s="262"/>
    </row>
  </sheetData>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3"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Tine Boholm Brandsborg</cp:lastModifiedBy>
  <cp:lastPrinted>2023-02-09T09:26:38Z</cp:lastPrinted>
  <dcterms:created xsi:type="dcterms:W3CDTF">2014-05-07T09:31:49Z</dcterms:created>
  <dcterms:modified xsi:type="dcterms:W3CDTF">2025-04-10T10:52:52Z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