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autoCompressPictures="0"/>
  <mc:AlternateContent xmlns:mc="http://schemas.openxmlformats.org/markup-compatibility/2006">
    <mc:Choice Requires="x15">
      <x15ac:absPath xmlns:x15ac="http://schemas.microsoft.com/office/spreadsheetml/2010/11/ac" url="C:\Users\bruger\Desktop\"/>
    </mc:Choice>
  </mc:AlternateContent>
  <xr:revisionPtr revIDLastSave="0" documentId="8_{B3D106FF-FD62-4966-A3E4-968E07E9F614}" xr6:coauthVersionLast="47" xr6:coauthVersionMax="47" xr10:uidLastSave="{00000000-0000-0000-0000-000000000000}"/>
  <bookViews>
    <workbookView xWindow="2304" yWindow="2304" windowWidth="23040" windowHeight="1356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1'!$A$1:$I$26</definedName>
    <definedName name="_xlnm.Print_Area" localSheetId="12">'Generelle satser'!$A$1:$H$113</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fra'!$A$1:$G$33</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51" i="35" l="1"/>
  <c r="E99" i="35" l="1"/>
  <c r="E98" i="35"/>
  <c r="E91" i="35"/>
  <c r="E76" i="35" l="1"/>
  <c r="H117" i="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C21" i="13" l="1"/>
  <c r="E13" i="13"/>
  <c r="F22" i="33" l="1"/>
  <c r="G97" i="20"/>
  <c r="F63" i="20"/>
  <c r="H63" i="20" s="1"/>
  <c r="H62" i="20"/>
  <c r="F62" i="20" s="1"/>
  <c r="F78" i="20" l="1"/>
  <c r="H78" i="20" s="1"/>
  <c r="F77" i="20"/>
  <c r="H77" i="20" s="1"/>
  <c r="F76" i="20"/>
  <c r="H76" i="20" s="1"/>
  <c r="F74" i="20"/>
  <c r="F75" i="20"/>
  <c r="H75" i="20" s="1"/>
  <c r="H74" i="20"/>
  <c r="F55" i="20" l="1"/>
  <c r="F69" i="20" l="1"/>
  <c r="H69" i="20" s="1"/>
  <c r="H68" i="20"/>
  <c r="F68" i="20" s="1"/>
  <c r="G57" i="20"/>
  <c r="F57" i="20"/>
  <c r="H57" i="20" s="1"/>
  <c r="G49" i="20"/>
  <c r="F49" i="20"/>
  <c r="H49" i="20" s="1"/>
  <c r="A27" i="11"/>
  <c r="I91" i="1" l="1"/>
  <c r="I92" i="1"/>
  <c r="I83" i="1" l="1"/>
  <c r="I82" i="1"/>
  <c r="J41" i="34"/>
  <c r="J32" i="34"/>
  <c r="J21" i="34"/>
  <c r="F21" i="33"/>
  <c r="F56" i="20"/>
  <c r="H56" i="20" s="1"/>
  <c r="H55" i="20"/>
  <c r="E88" i="35"/>
  <c r="E95" i="35" s="1"/>
  <c r="F26" i="35"/>
  <c r="H87" i="20"/>
  <c r="H84"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C98" i="35"/>
  <c r="D98" i="35" s="1"/>
  <c r="C91" i="35"/>
  <c r="D91" i="35" s="1"/>
  <c r="G85" i="35"/>
  <c r="E85" i="35"/>
  <c r="G84" i="35"/>
  <c r="E84" i="35"/>
  <c r="E62" i="35"/>
  <c r="C54" i="35"/>
  <c r="E54" i="35" s="1"/>
  <c r="E43" i="35"/>
  <c r="F43" i="35" s="1"/>
  <c r="G43" i="35" s="1"/>
  <c r="E44" i="35"/>
  <c r="F44" i="35" s="1"/>
  <c r="G44" i="35" s="1"/>
  <c r="E45" i="35"/>
  <c r="F45" i="35" s="1"/>
  <c r="G45" i="35" s="1"/>
  <c r="E46" i="35"/>
  <c r="F46" i="35" s="1"/>
  <c r="G46" i="35" s="1"/>
  <c r="E47" i="35"/>
  <c r="F47" i="35" s="1"/>
  <c r="G47" i="35" s="1"/>
  <c r="E42" i="35"/>
  <c r="F42" i="35" s="1"/>
  <c r="G42"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C76" i="35"/>
  <c r="D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8" i="1"/>
  <c r="F158" i="1"/>
  <c r="F131"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4" i="11"/>
  <c r="F34"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<sst xmlns="http://schemas.openxmlformats.org/spreadsheetml/2006/main" count="1268" uniqueCount="565">
  <si>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</si>
  <si>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</si>
  <si>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</si>
  <si>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</si>
  <si>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</si>
  <si>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</si>
  <si>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</si>
  <si>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</si>
  <si>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</si>
  <si>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</si>
  <si>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</si>
  <si>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</si>
  <si>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</si>
  <si>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</si>
  <si>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</si>
  <si>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</si>
  <si>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</si>
  <si>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</si>
  <si>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</si>
  <si>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</si>
  <si>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</si>
  <si>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</si>
  <si>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</si>
  <si>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</si>
  <si>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</si>
  <si>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</si>
  <si>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</si>
  <si>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</si>
  <si>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</si>
  <si>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</si>
  <si>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</si>
  <si>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</si>
  <si>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</si>
  <si>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</si>
  <si>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</si>
  <si>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</si>
  <si>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</si>
  <si>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</si>
  <si>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</si>
  <si>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</si>
  <si>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</si>
  <si>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</si>
  <si>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</si>
  <si>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</si>
  <si>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</si>
  <si>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</si>
  <si>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</si>
  <si>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</si>
  <si>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</si>
  <si>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</si>
  <si>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</si>
  <si>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</si>
  <si>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</si>
  <si>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</si>
  <si>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</si>
  <si>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</si>
  <si>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</si>
  <si>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</si>
  <si>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</si>
  <si>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</si>
  <si>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</si>
  <si>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</si>
  <si>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</si>
  <si>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</si>
  <si>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</si>
  <si>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</si>
  <si>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</si>
  <si>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</si>
  <si>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</si>
  <si>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</si>
  <si>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</si>
  <si>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</si>
  <si>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</si>
  <si>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</si>
  <si>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</si>
  <si>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</si>
  <si>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</si>
  <si>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</si>
  <si>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</si>
  <si>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</si>
  <si>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</si>
  <si>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</si>
  <si>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</si>
  <si>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</si>
  <si>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</si>
  <si>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</si>
  <si>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</si>
  <si>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</si>
  <si>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</si>
  <si>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</si>
  <si>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</si>
  <si>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</si>
  <si>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</si>
  <si>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</si>
  <si>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</si>
  <si>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</si>
  <si>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</si>
  <si>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</si>
  <si>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</si>
  <si>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</si>
  <si>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</si>
  <si>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</si>
  <si>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</si>
  <si>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</si>
  <si>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</si>
  <si>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</si>
  <si>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</si>
  <si>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</si>
  <si>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</si>
  <si>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</si>
  <si>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</si>
  <si>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</si>
  <si>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</si>
  <si>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</si>
  <si>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</si>
  <si>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</si>
  <si>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</si>
  <si>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</si>
  <si>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</si>
  <si>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</si>
  <si>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</si>
  <si>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</si>
  <si>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</si>
  <si>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</si>
  <si>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</si>
  <si>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</si>
  <si>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</si>
  <si>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</si>
  <si>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</si>
  <si>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</si>
  <si>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</si>
  <si>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</si>
  <si>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</si>
  <si>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</si>
  <si>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</si>
  <si>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</si>
  <si>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</si>
  <si>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</si>
  <si>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</si>
  <si>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</si>
  <si>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</si>
  <si>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</si>
  <si>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</si>
  <si>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</si>
  <si>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</si>
  <si>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</si>
  <si>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</si>
  <si>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</si>
  <si>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</si>
  <si>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</si>
  <si>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</si>
  <si>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</si>
  <si>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</si>
  <si>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</si>
  <si>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</si>
  <si>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</si>
  <si>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</si>
  <si>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</si>
  <si>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</si>
  <si>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</si>
  <si>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</si>
  <si>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</si>
  <si>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</si>
  <si>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</si>
  <si>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</si>
  <si>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</si>
  <si>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</si>
  <si>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</si>
  <si>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</si>
  <si>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</si>
  <si>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</si>
  <si>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</si>
  <si>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</si>
  <si>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</si>
  <si>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</si>
  <si>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</si>
  <si>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</si>
  <si>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</si>
  <si>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</si>
  <si>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</si>
  <si>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</si>
  <si>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</si>
  <si>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</si>
  <si>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</si>
  <si>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</si>
  <si>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</si>
  <si>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</si>
  <si>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</si>
  <si>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</si>
  <si>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</si>
  <si>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</si>
  <si>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</si>
  <si>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</si>
  <si>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</si>
  <si>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</si>
  <si>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</si>
  <si>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</si>
  <si>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</si>
  <si>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</si>
  <si>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</si>
  <si>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</si>
  <si>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</si>
  <si>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</si>
  <si>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</si>
  <si>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</si>
  <si>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</si>
  <si>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</si>
  <si>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</si>
  <si>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</si>
  <si>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</si>
  <si>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</si>
  <si>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</si>
  <si>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</si>
  <si>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</si>
  <si>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</si>
  <si>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</si>
  <si>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</si>
  <si>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</si>
  <si>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</si>
  <si>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</si>
  <si>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</si>
  <si>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</si>
  <si>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</si>
  <si>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</si>
  <si>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</si>
  <si>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</si>
  <si>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</si>
  <si>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</si>
  <si>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</si>
  <si>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</si>
  <si>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</si>
  <si>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</si>
  <si>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</si>
  <si>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</si>
  <si>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</si>
  <si>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</si>
  <si>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</si>
  <si>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</si>
  <si>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</si>
  <si>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</si>
  <si>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</si>
  <si>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</si>
  <si>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</si>
  <si>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</si>
  <si>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</si>
  <si>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</si>
  <si>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</si>
  <si>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</si>
  <si>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</si>
  <si>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</si>
  <si>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</si>
  <si>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</si>
  <si>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</si>
  <si>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</si>
  <si>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</si>
  <si>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</si>
  <si>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</si>
  <si>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</si>
  <si>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</si>
  <si>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</si>
  <si>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</si>
  <si>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</si>
  <si>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</si>
  <si>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</si>
  <si>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</si>
  <si>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</si>
  <si>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</si>
  <si>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</si>
  <si>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</si>
  <si>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</si>
  <si>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</si>
  <si>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</si>
  <si>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</si>
  <si>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</si>
  <si>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</si>
  <si>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</si>
  <si>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</si>
  <si>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</si>
  <si>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</si>
  <si>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</si>
  <si>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</si>
  <si>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</si>
  <si>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</si>
  <si>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</si>
  <si>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</si>
  <si>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</si>
  <si>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</si>
  <si>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</si>
  <si>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</si>
  <si>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</si>
  <si>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</si>
  <si>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</si>
  <si>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</si>
  <si>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</si>
  <si>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</si>
  <si>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</si>
  <si>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</si>
  <si>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</si>
  <si>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</si>
  <si>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</si>
  <si>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</si>
  <si>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</si>
  <si>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</si>
  <si>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</si>
  <si>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</si>
  <si>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</si>
  <si>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</si>
  <si>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</si>
  <si>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</si>
  <si>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</si>
  <si>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</si>
  <si>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</si>
  <si>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</si>
  <si>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</si>
  <si>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</si>
  <si>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</si>
  <si>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</si>
  <si>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</si>
  <si>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</si>
  <si>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</si>
  <si>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</si>
  <si>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</si>
  <si>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</si>
  <si>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</si>
  <si>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</si>
  <si>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</si>
  <si>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</si>
  <si>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</si>
  <si>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</si>
  <si>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</si>
  <si>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</si>
  <si>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</si>
  <si>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</si>
  <si>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</si>
  <si>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</si>
  <si>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</si>
  <si>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</si>
  <si>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</si>
  <si>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</si>
  <si>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</si>
  <si>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</si>
  <si>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</si>
  <si>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</si>
  <si>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</si>
  <si>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</si>
  <si>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</si>
  <si>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</si>
  <si>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</si>
  <si>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</si>
  <si>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</si>
  <si>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</si>
  <si>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</si>
  <si>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</si>
  <si>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</si>
  <si>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</si>
  <si>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</si>
  <si>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</si>
  <si>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</si>
  <si>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</si>
  <si>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</si>
  <si>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</si>
  <si>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</si>
  <si>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</si>
  <si>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</si>
  <si>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</si>
  <si>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</si>
  <si>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</si>
  <si>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</si>
  <si>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</si>
  <si>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</si>
  <si>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</si>
  <si>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</si>
  <si>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</si>
  <si>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</si>
  <si>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</si>
  <si>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</si>
  <si>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</si>
  <si>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</si>
  <si>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</si>
  <si>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</si>
  <si>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</si>
  <si>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</si>
  <si>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</si>
  <si>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</si>
  <si>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</si>
  <si>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</si>
  <si>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</si>
  <si>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</si>
  <si>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</si>
  <si>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</si>
  <si>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</si>
  <si>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</si>
  <si>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</si>
  <si>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</si>
  <si>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</si>
  <si>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</si>
  <si>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</si>
  <si>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</si>
  <si>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</si>
  <si>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</si>
  <si>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</si>
  <si>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</si>
  <si>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</si>
  <si>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</si>
  <si>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</si>
  <si>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</si>
  <si>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</si>
  <si>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</si>
  <si>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</si>
  <si>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</si>
  <si>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</si>
  <si>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</si>
  <si>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</si>
  <si>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</si>
  <si>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</si>
  <si>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</si>
  <si>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</si>
  <si>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</si>
  <si>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</si>
  <si>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</si>
  <si>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</si>
  <si>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</si>
  <si>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</si>
  <si>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</si>
  <si>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</si>
  <si>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</si>
  <si>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</si>
  <si>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</si>
  <si>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</si>
  <si>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</si>
  <si>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</si>
  <si>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</si>
  <si>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</si>
  <si>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</si>
  <si>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</si>
  <si>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</si>
  <si>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</si>
  <si>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</si>
  <si>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</si>
  <si>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</si>
  <si>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</si>
  <si>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</si>
  <si>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</si>
  <si>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</si>
  <si>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</si>
  <si>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</si>
  <si>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</si>
  <si>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</si>
  <si>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</si>
  <si>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</si>
  <si>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</si>
  <si>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</si>
  <si>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</si>
  <si>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</si>
  <si>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</si>
  <si>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</si>
  <si>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</si>
  <si>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</si>
  <si>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</si>
  <si>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</si>
  <si>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</si>
  <si>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</si>
  <si>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</si>
  <si>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</si>
  <si>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</si>
  <si>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</si>
  <si>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</si>
  <si>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</si>
  <si>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</si>
  <si>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</si>
  <si>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</si>
  <si>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</si>
  <si>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</si>
  <si>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</si>
  <si>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</si>
  <si>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</si>
  <si>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</si>
  <si>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</si>
  <si>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</si>
  <si>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</si>
  <si>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</si>
  <si>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</si>
  <si>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</si>
  <si>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</si>
  <si>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</si>
  <si>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</si>
  <si>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</si>
  <si>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</si>
  <si>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</si>
  <si>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</si>
  <si>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</si>
  <si>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</si>
  <si>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</si>
  <si>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</si>
  <si>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</si>
  <si>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</si>
  <si>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</si>
  <si>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</si>
  <si>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</si>
  <si>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</si>
  <si>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</si>
  <si>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</si>
  <si>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</si>
  <si>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</si>
  <si>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</si>
  <si>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</si>
  <si>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</si>
  <si>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Gældende fra 1. januar 2025</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</si>
  <si>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</si>
  <si>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</si>
  <si>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</si>
  <si>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</si>
  <si>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</si>
  <si>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</si>
  <si>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</si>
  <si>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</si>
  <si>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</si>
  <si>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</si>
  <si>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</si>
  <si>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</si>
  <si>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</si>
  <si>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</si>
  <si>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</si>
  <si>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</si>
  <si>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</si>
  <si>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</si>
  <si>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</si>
  <si>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</si>
  <si>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</si>
  <si>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OK-2024 tillæg (tidligere OK-18 tillæg)</t>
  </si>
  <si>
    <t>OK24-tillæg</t>
  </si>
  <si>
    <t>For lærere og bh.kl.ledere med tjenestemandspension er de "pensionsgivende løndele" ikke nødvendigvis pensionsgivende, bortset fra soucheftillæg, OK13-tillæg og OK24-tillæg.</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</si>
  <si>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</si>
  <si>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</si>
  <si>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</si>
  <si>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</si>
  <si>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</si>
  <si>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</si>
  <si>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</si>
  <si>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</si>
  <si>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</si>
  <si>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</si>
  <si>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</si>
  <si>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</si>
  <si>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</si>
  <si>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</si>
  <si>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</si>
  <si>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Gældende fra 1. november 2025</t>
  </si>
  <si>
    <t>Udgivet d. 1. oktober 2025</t>
  </si>
  <si>
    <t>Denne løntabel er gældende til og med d. 31. december 2025</t>
  </si>
  <si>
    <t>Reguleringsprocenten ændres d. 1. november 2025 fra 23,3095 til 24,9126</t>
  </si>
  <si>
    <t xml:space="preserve">Aftalt løn kr. 36.500,- pr. Måned </t>
  </si>
  <si>
    <t>Skalatrinslønnen nærmest herunder på skalatrin 40: kr. 36.123,42 pr. måned.</t>
  </si>
  <si>
    <t>Pensionstilsvaret bliver 15% af den pensionsgivende løn på skalatrin 40 = 15% af kr. 36.123,42 pr. måned = kr. 5.418,51</t>
  </si>
  <si>
    <t>Aftalt løn kr. 38.000,- pr. måned</t>
  </si>
  <si>
    <t>Skalatrinslønnen nærmest herunder på skalatrin 42: kr. 37.646,50 pr. måned.</t>
  </si>
  <si>
    <t>Pensionstilsvaret bliver 15% af den pensionsgivende løn på skalatrin 42 = 15% af kr. 37.646,50 pr. måned = kr. 5.646,98</t>
  </si>
  <si>
    <t>Praktikaflønning - satser (Ny aftale gældende pr. 01.08.25)</t>
  </si>
  <si>
    <t>Praktikaflønning - satser til øvrige leder (Ny aftale gældende pr. 01.08.25)</t>
  </si>
  <si>
    <t>I alt 18,97%*</t>
  </si>
  <si>
    <t>Der indbetales pensionsbidrag på 18,97% til MP.</t>
  </si>
  <si>
    <t>I alt 18,97%</t>
  </si>
  <si>
    <t>For valg af pensionsselskab se Overenskomst for akademikere i Staten bilag A. Udover skalatrinslønnen kan der ydes tillæg efter lokal aftale i henhold bemyndigelse fra Undervisningsministeriet og efter Aftale om chefløn</t>
  </si>
  <si>
    <t>01-11-2025</t>
  </si>
  <si>
    <t>Pensionsbidrag til AkademikerPension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</si>
</sst>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28">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14" fontId="13" fillId="0" borderId="31" xfId="0" applyNumberFormat="1" applyFont="1" applyBorder="1" applyAlignment="1">
      <alignment horizontal="center"/>
    </xf>
    <xf numFmtId="0" fontId="13" fillId="0" borderId="55" xfId="0" applyFont="1" applyBorder="1"/>
    <xf numFmtId="4" fontId="78" fillId="3" borderId="55" xfId="0" applyNumberFormat="1" applyFont="1" applyFill="1" applyBorder="1" applyAlignment="1">
      <alignment horizontal="center"/>
    </xf>
    <xf numFmtId="0" fontId="15" fillId="3" borderId="48" xfId="0" applyFont="1" applyFill="1" applyBorder="1" applyAlignment="1">
      <alignment horizontal="center" vertical="center"/>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62" fillId="0" borderId="0" xfId="0" applyFont="1" applyAlignment="1">
      <alignment horizontal="left" vertical="justify"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15" fillId="4" borderId="34" xfId="0" applyFont="1" applyFill="1" applyBorder="1" applyAlignment="1">
      <alignment horizontal="left"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2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4" fontId="15" fillId="0" borderId="4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4" fontId="15" fillId="0" borderId="36" xfId="0" applyNumberFormat="1" applyFont="1" applyBorder="1" applyAlignment="1">
      <alignment horizont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14" xfId="0" applyNumberFormat="1" applyFont="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1" fillId="4" borderId="5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49" fontId="14" fillId="4" borderId="19" xfId="0" applyNumberFormat="1"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4"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4" fontId="78" fillId="3" borderId="77"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14</xdr:row>
      <xdr:rowOff>63503</xdr:rowOff>
    </xdr:from>
    <xdr:to>
      <xdr:col>4</xdr:col>
      <xdr:colOff>1120775</xdr:colOff>
      <xdr:row>14</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36988</xdr:colOff>
      <xdr:row>18</xdr:row>
      <xdr:rowOff>79671</xdr:rowOff>
    </xdr:from>
    <xdr:to>
      <xdr:col>4</xdr:col>
      <xdr:colOff>1511300</xdr:colOff>
      <xdr:row>18</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22</xdr:row>
      <xdr:rowOff>114300</xdr:rowOff>
    </xdr:from>
    <xdr:to>
      <xdr:col>4</xdr:col>
      <xdr:colOff>1435100</xdr:colOff>
      <xdr:row>22</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3"/>
        <a:stretch>
          <a:fillRect/>
        </a:stretch>
      </xdr:blipFill>
      <xdr:spPr>
        <a:xfrm>
          <a:off x="3581400" y="6896100"/>
          <a:ext cx="1320800" cy="419100"/>
        </a:xfrm>
        <a:prstGeom prst="rect">
          <a:avLst/>
        </a:prstGeom>
      </xdr:spPr>
    </xdr:pic>
    <xdr:clientData/>
  </xdr:twoCellAnchor>
  <xdr:twoCellAnchor editAs="oneCell">
    <xdr:from>
      <xdr:col>4</xdr:col>
      <xdr:colOff>20320</xdr:colOff>
      <xdr:row>13</xdr:row>
      <xdr:rowOff>132080</xdr:rowOff>
    </xdr:from>
    <xdr:to>
      <xdr:col>4</xdr:col>
      <xdr:colOff>1463040</xdr:colOff>
      <xdr:row>13</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4"/>
        <a:stretch>
          <a:fillRect/>
        </a:stretch>
      </xdr:blipFill>
      <xdr:spPr>
        <a:xfrm>
          <a:off x="3495040" y="4409440"/>
          <a:ext cx="1442720" cy="399117"/>
        </a:xfrm>
        <a:prstGeom prst="rect">
          <a:avLst/>
        </a:prstGeom>
      </xdr:spPr>
    </xdr:pic>
    <xdr:clientData/>
  </xdr:twoCellAnchor>
  <xdr:twoCellAnchor editAs="oneCell">
    <xdr:from>
      <xdr:col>4</xdr:col>
      <xdr:colOff>1371599</xdr:colOff>
      <xdr:row>13</xdr:row>
      <xdr:rowOff>201168</xdr:rowOff>
    </xdr:from>
    <xdr:to>
      <xdr:col>9</xdr:col>
      <xdr:colOff>18288</xdr:colOff>
      <xdr:row>13</xdr:row>
      <xdr:rowOff>573024</xdr:rowOff>
    </xdr:to>
    <xdr:pic>
      <xdr:nvPicPr>
        <xdr:cNvPr id="6" name="Billede 5">
          <a:extLst>
            <a:ext uri="{FF2B5EF4-FFF2-40B4-BE49-F238E27FC236}">
              <a16:creationId xmlns:a16="http://schemas.microsoft.com/office/drawing/2014/main" id="{A621D212-AAE3-4116-8962-1CE776B785F8}"/>
            </a:ext>
          </a:extLst>
        </xdr:cNvPr>
        <xdr:cNvPicPr>
          <a:picLocks noChangeAspect="1"/>
        </xdr:cNvPicPr>
      </xdr:nvPicPr>
      <xdr:blipFill>
        <a:blip xmlns:r="http://schemas.openxmlformats.org/officeDocument/2006/relationships" r:embed="rId5"/>
        <a:stretch>
          <a:fillRect/>
        </a:stretch>
      </xdr:blipFill>
      <xdr:spPr>
        <a:xfrm>
          <a:off x="4492751" y="4139184"/>
          <a:ext cx="2121409" cy="371856"/>
        </a:xfrm>
        <a:prstGeom prst="rect">
          <a:avLst/>
        </a:prstGeom>
      </xdr:spPr>
    </xdr:pic>
    <xdr:clientData/>
  </xdr:twoCellAnchor>
  <xdr:twoCellAnchor editAs="oneCell">
    <xdr:from>
      <xdr:col>1</xdr:col>
      <xdr:colOff>963168</xdr:colOff>
      <xdr:row>15</xdr:row>
      <xdr:rowOff>207264</xdr:rowOff>
    </xdr:from>
    <xdr:to>
      <xdr:col>4</xdr:col>
      <xdr:colOff>1355246</xdr:colOff>
      <xdr:row>15</xdr:row>
      <xdr:rowOff>475488</xdr:rowOff>
    </xdr:to>
    <xdr:pic>
      <xdr:nvPicPr>
        <xdr:cNvPr id="9" name="Billede 8">
          <a:extLst>
            <a:ext uri="{FF2B5EF4-FFF2-40B4-BE49-F238E27FC236}">
              <a16:creationId xmlns:a16="http://schemas.microsoft.com/office/drawing/2014/main" id="{E81901D6-4113-4CBA-A20C-2476EC905FCA}"/>
            </a:ext>
          </a:extLst>
        </xdr:cNvPr>
        <xdr:cNvPicPr>
          <a:picLocks noChangeAspect="1"/>
        </xdr:cNvPicPr>
      </xdr:nvPicPr>
      <xdr:blipFill>
        <a:blip xmlns:r="http://schemas.openxmlformats.org/officeDocument/2006/relationships" r:embed="rId5"/>
        <a:stretch>
          <a:fillRect/>
        </a:stretch>
      </xdr:blipFill>
      <xdr:spPr>
        <a:xfrm>
          <a:off x="2962656" y="5437632"/>
          <a:ext cx="1513742" cy="268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8"/>
  <sheetViews>
    <sheetView tabSelected="1" topLeftCell="A8" zoomScale="125" workbookViewId="0">
      <selection activeCell="A12" sqref="A12:I12"/>
    </sheetView>
  </sheetViews>
  <sheetFormatPr defaultColWidth="8.77734375" defaultRowHeight="14.4"/>
  <cols>
    <col min="1" max="1" width="29.109375" style="34" customWidth="1"/>
    <col min="2" max="2" width="16.33203125" customWidth="1"/>
    <col min="3" max="3" width="24.33203125" hidden="1" customWidth="1"/>
    <col min="4" max="4" width="9.6640625" hidden="1" customWidth="1"/>
    <col min="5" max="5" width="20" bestFit="1" customWidth="1"/>
    <col min="6" max="6" width="4.6640625" customWidth="1"/>
    <col min="7" max="7" width="8.77734375" customWidth="1"/>
    <col min="8" max="8" width="10.6640625" customWidth="1"/>
    <col min="9" max="9" width="6.44140625" customWidth="1"/>
  </cols>
  <sheetData>
    <row r="1" spans="1:21" ht="34.950000000000003" customHeight="1">
      <c r="A1" s="990"/>
      <c r="B1" s="990"/>
      <c r="C1" s="990"/>
      <c r="D1" s="990"/>
      <c r="E1" s="990"/>
      <c r="F1" s="990"/>
      <c r="G1" s="990"/>
      <c r="H1" s="990"/>
      <c r="I1" s="990"/>
    </row>
    <row r="2" spans="1:21" ht="30" customHeight="1">
      <c r="A2" s="976"/>
      <c r="B2" s="976"/>
      <c r="C2" s="976"/>
      <c r="D2" s="976"/>
      <c r="E2" s="976"/>
      <c r="F2" s="976"/>
      <c r="G2" s="976"/>
      <c r="H2" s="976"/>
      <c r="I2" s="976"/>
    </row>
    <row r="3" spans="1:21" ht="37.049999999999997" customHeight="1">
      <c r="A3" s="990" t="s">
        <v>79</v>
      </c>
      <c r="B3" s="990"/>
      <c r="C3" s="990"/>
      <c r="D3" s="990"/>
      <c r="E3" s="990"/>
      <c r="F3" s="990"/>
      <c r="G3" s="990"/>
      <c r="H3" s="990"/>
      <c r="I3" s="990"/>
      <c r="M3" s="988"/>
      <c r="N3" s="989"/>
      <c r="O3" s="989"/>
      <c r="P3" s="989"/>
      <c r="Q3" s="989"/>
      <c r="R3" s="989"/>
      <c r="S3" s="989"/>
      <c r="T3" s="989"/>
      <c r="U3" s="989"/>
    </row>
    <row r="4" spans="1:21" ht="25.95" customHeight="1">
      <c r="A4" s="990" t="s">
        <v>377</v>
      </c>
      <c r="B4" s="990"/>
      <c r="C4" s="990"/>
      <c r="D4" s="990"/>
      <c r="E4" s="990"/>
      <c r="F4" s="990"/>
      <c r="G4" s="990"/>
      <c r="H4" s="990"/>
      <c r="I4" s="990"/>
    </row>
    <row r="5" spans="1:21" s="31" customFormat="1" ht="13.95" customHeight="1">
      <c r="A5" s="976"/>
      <c r="B5" s="976"/>
      <c r="C5" s="976"/>
      <c r="D5" s="976"/>
      <c r="E5" s="976"/>
      <c r="F5" s="976"/>
      <c r="G5" s="976"/>
      <c r="H5" s="976"/>
      <c r="I5" s="976"/>
    </row>
    <row r="6" spans="1:21" s="31" customFormat="1" ht="21" customHeight="1">
      <c r="A6" s="991" t="s">
        <v>547</v>
      </c>
      <c r="B6" s="991"/>
      <c r="C6" s="991"/>
      <c r="D6" s="991"/>
      <c r="E6" s="991"/>
      <c r="F6" s="991"/>
      <c r="G6" s="991"/>
      <c r="H6" s="991"/>
      <c r="I6" s="991"/>
    </row>
    <row r="7" spans="1:21" ht="18" customHeight="1">
      <c r="A7" s="978" t="s">
        <v>548</v>
      </c>
      <c r="B7" s="978"/>
      <c r="C7" s="978"/>
      <c r="D7" s="978"/>
      <c r="E7" s="978"/>
      <c r="F7" s="978"/>
      <c r="G7" s="978"/>
      <c r="H7" s="978"/>
      <c r="I7" s="978"/>
    </row>
    <row r="8" spans="1:21" s="31" customFormat="1" ht="28.95" customHeight="1">
      <c r="A8" s="992" t="s">
        <v>549</v>
      </c>
      <c r="B8" s="992"/>
      <c r="C8" s="992"/>
      <c r="D8" s="992"/>
      <c r="E8" s="992"/>
      <c r="F8" s="992"/>
      <c r="G8" s="992"/>
      <c r="H8" s="992"/>
      <c r="I8" s="992"/>
    </row>
    <row r="9" spans="1:21" ht="18" customHeight="1">
      <c r="A9" s="978"/>
      <c r="B9" s="978"/>
      <c r="C9" s="978"/>
      <c r="D9" s="978"/>
      <c r="E9" s="978"/>
      <c r="F9" s="978"/>
      <c r="G9" s="978"/>
      <c r="H9" s="978"/>
      <c r="I9" s="978"/>
    </row>
    <row r="10" spans="1:21" ht="19.95" customHeight="1">
      <c r="A10" s="994" t="s">
        <v>475</v>
      </c>
      <c r="B10" s="994"/>
      <c r="C10" s="994"/>
      <c r="D10" s="994"/>
      <c r="E10" s="994"/>
      <c r="F10" s="994"/>
      <c r="G10" s="994"/>
      <c r="H10" s="994"/>
      <c r="I10" s="994"/>
    </row>
    <row r="11" spans="1:21" ht="22.05" customHeight="1">
      <c r="A11" s="993" t="s">
        <v>550</v>
      </c>
      <c r="B11" s="993"/>
      <c r="C11" s="993"/>
      <c r="D11" s="993"/>
      <c r="E11" s="993"/>
      <c r="F11" s="993"/>
      <c r="G11" s="993"/>
      <c r="H11" s="993"/>
      <c r="I11" s="993"/>
    </row>
    <row r="12" spans="1:21" ht="19.95" customHeight="1">
      <c r="A12" s="993"/>
      <c r="B12" s="993"/>
      <c r="C12" s="993"/>
      <c r="D12" s="993"/>
      <c r="E12" s="993"/>
      <c r="F12" s="993"/>
      <c r="G12" s="993"/>
      <c r="H12" s="993"/>
      <c r="I12" s="993"/>
    </row>
    <row r="13" spans="1:21" ht="21" customHeight="1">
      <c r="A13" s="995"/>
      <c r="B13" s="995"/>
      <c r="C13" s="995"/>
      <c r="D13" s="995"/>
      <c r="E13" s="995"/>
      <c r="F13" s="995"/>
      <c r="G13" s="995"/>
      <c r="H13" s="995"/>
      <c r="I13" s="995"/>
    </row>
    <row r="14" spans="1:21" ht="51" customHeight="1">
      <c r="A14" s="979" t="s">
        <v>82</v>
      </c>
      <c r="B14" s="979"/>
      <c r="C14" s="979"/>
      <c r="D14" s="979"/>
      <c r="E14" s="32"/>
      <c r="F14" s="983" t="s">
        <v>302</v>
      </c>
      <c r="G14" s="983"/>
      <c r="H14" s="983"/>
      <c r="I14" s="983"/>
    </row>
    <row r="15" spans="1:21" ht="51" customHeight="1">
      <c r="A15" s="979" t="s">
        <v>80</v>
      </c>
      <c r="B15" s="979"/>
      <c r="C15" s="979"/>
      <c r="D15" s="979"/>
      <c r="E15" s="32"/>
      <c r="F15" s="977" t="s">
        <v>303</v>
      </c>
      <c r="G15" s="977"/>
      <c r="H15" s="977"/>
      <c r="I15" s="977"/>
    </row>
    <row r="16" spans="1:21" ht="48" customHeight="1">
      <c r="A16" s="979" t="s">
        <v>296</v>
      </c>
      <c r="B16" s="979"/>
      <c r="C16" s="979"/>
      <c r="D16" s="979"/>
      <c r="E16" s="980"/>
      <c r="F16" s="977" t="s">
        <v>371</v>
      </c>
      <c r="G16" s="977"/>
      <c r="H16" s="977"/>
      <c r="I16" s="977"/>
    </row>
    <row r="17" spans="1:9" ht="1.95" hidden="1" customHeight="1">
      <c r="A17" s="979"/>
      <c r="B17" s="979"/>
      <c r="C17" s="979"/>
      <c r="D17" s="979"/>
      <c r="E17" s="980"/>
      <c r="F17" s="977" t="s">
        <v>426</v>
      </c>
      <c r="G17" s="977"/>
      <c r="H17" s="977"/>
      <c r="I17" s="977"/>
    </row>
    <row r="18" spans="1:9" ht="13.05" hidden="1" customHeight="1">
      <c r="A18" s="979"/>
      <c r="B18" s="979"/>
      <c r="C18" s="979"/>
      <c r="D18" s="979"/>
      <c r="E18" s="980"/>
      <c r="F18" s="977"/>
      <c r="G18" s="977"/>
      <c r="H18" s="977"/>
      <c r="I18" s="977"/>
    </row>
    <row r="19" spans="1:9" ht="49.95" customHeight="1">
      <c r="A19" s="981" t="s">
        <v>81</v>
      </c>
      <c r="B19" s="981"/>
      <c r="C19" s="38"/>
      <c r="D19" s="38"/>
      <c r="E19" s="980"/>
      <c r="F19" s="977"/>
      <c r="G19" s="977"/>
      <c r="H19" s="977"/>
      <c r="I19" s="977"/>
    </row>
    <row r="20" spans="1:9" ht="1.95" hidden="1" customHeight="1">
      <c r="A20" s="981"/>
      <c r="B20" s="981"/>
      <c r="C20" s="38"/>
      <c r="D20" s="38"/>
      <c r="E20" s="980"/>
      <c r="F20" s="977"/>
      <c r="G20" s="977"/>
      <c r="H20" s="977"/>
      <c r="I20" s="977"/>
    </row>
    <row r="21" spans="1:9" ht="10.050000000000001" hidden="1" customHeight="1">
      <c r="A21" s="981"/>
      <c r="B21" s="981"/>
      <c r="C21" s="38"/>
      <c r="D21" s="38"/>
      <c r="E21" s="980"/>
      <c r="F21" s="977"/>
      <c r="G21" s="977"/>
      <c r="H21" s="977"/>
      <c r="I21" s="977"/>
    </row>
    <row r="22" spans="1:9" ht="1.05" hidden="1" customHeight="1">
      <c r="A22" s="981"/>
      <c r="B22" s="981"/>
      <c r="C22" s="38"/>
      <c r="D22" s="38"/>
      <c r="E22" s="980"/>
      <c r="F22" s="977" t="s">
        <v>304</v>
      </c>
      <c r="G22" s="977"/>
      <c r="H22" s="977"/>
      <c r="I22" s="977"/>
    </row>
    <row r="23" spans="1:9" ht="51" customHeight="1">
      <c r="A23" s="840" t="s">
        <v>427</v>
      </c>
      <c r="B23" s="840"/>
      <c r="C23" s="840"/>
      <c r="D23" s="840"/>
      <c r="E23" s="840"/>
      <c r="F23" s="977" t="s">
        <v>472</v>
      </c>
      <c r="G23" s="977"/>
      <c r="H23" s="977"/>
      <c r="I23" s="977"/>
    </row>
    <row r="24" spans="1:9" ht="15" customHeight="1">
      <c r="A24" s="838"/>
      <c r="B24" s="838"/>
      <c r="C24" s="838"/>
      <c r="D24" s="838"/>
      <c r="E24" s="838"/>
    </row>
    <row r="25" spans="1:9" ht="46.05" customHeight="1">
      <c r="A25" s="982" t="s">
        <v>127</v>
      </c>
      <c r="B25" s="982"/>
      <c r="C25" s="982"/>
      <c r="D25" s="982"/>
      <c r="E25" s="982"/>
      <c r="F25" s="982"/>
      <c r="G25" s="982"/>
      <c r="H25" s="982"/>
      <c r="I25" s="982"/>
    </row>
    <row r="26" spans="1:9" ht="46.05" customHeight="1">
      <c r="A26" s="566"/>
      <c r="B26" s="566"/>
      <c r="C26" s="566"/>
      <c r="D26" s="566"/>
      <c r="E26" s="566"/>
      <c r="F26" s="839"/>
      <c r="G26" s="839"/>
      <c r="H26" s="839"/>
      <c r="I26" s="839"/>
    </row>
    <row r="27" spans="1:9" ht="85.05" customHeight="1">
      <c r="A27" s="976"/>
      <c r="B27" s="976"/>
      <c r="C27" s="976"/>
      <c r="D27" s="976"/>
      <c r="E27" s="15"/>
    </row>
    <row r="28" spans="1:9" ht="13.05" customHeight="1">
      <c r="B28" s="984"/>
      <c r="C28" s="984"/>
      <c r="D28" s="984"/>
      <c r="E28" s="15"/>
    </row>
    <row r="29" spans="1:9">
      <c r="A29" s="35"/>
      <c r="B29" s="14"/>
      <c r="C29" s="14"/>
      <c r="D29" s="14"/>
      <c r="E29" s="14"/>
    </row>
    <row r="30" spans="1:9">
      <c r="A30" s="976"/>
      <c r="B30" s="976"/>
      <c r="C30" s="976"/>
      <c r="D30" s="976"/>
      <c r="E30" s="15"/>
      <c r="F30" s="565"/>
      <c r="G30" s="565"/>
      <c r="H30" s="565"/>
      <c r="I30" s="565"/>
    </row>
    <row r="31" spans="1:9">
      <c r="A31" s="565"/>
      <c r="B31" s="565"/>
      <c r="C31" s="565"/>
      <c r="D31" s="565"/>
      <c r="E31" s="565"/>
    </row>
    <row r="32" spans="1:9">
      <c r="A32" s="976"/>
      <c r="B32" s="976"/>
      <c r="C32" s="976"/>
      <c r="D32" s="976"/>
      <c r="E32" s="15"/>
    </row>
    <row r="33" spans="1:9">
      <c r="A33" s="976"/>
      <c r="B33" s="976"/>
      <c r="C33" s="976"/>
      <c r="D33" s="976"/>
      <c r="E33" s="15"/>
      <c r="H33" s="976"/>
      <c r="I33" s="976"/>
    </row>
    <row r="34" spans="1:9">
      <c r="A34" s="976"/>
      <c r="B34" s="976"/>
      <c r="C34" s="976"/>
      <c r="D34" s="976"/>
      <c r="E34" s="15"/>
      <c r="H34" s="976"/>
      <c r="I34" s="976"/>
    </row>
    <row r="35" spans="1:9">
      <c r="A35" s="976"/>
      <c r="B35" s="976"/>
      <c r="C35" s="976"/>
      <c r="D35" s="976"/>
      <c r="E35" s="15"/>
      <c r="H35" s="976"/>
      <c r="I35" s="976"/>
    </row>
    <row r="36" spans="1:9">
      <c r="A36" s="976"/>
      <c r="B36" s="976"/>
      <c r="C36" s="976"/>
      <c r="D36" s="976"/>
      <c r="E36" s="15"/>
      <c r="H36" s="976"/>
      <c r="I36" s="976"/>
    </row>
    <row r="37" spans="1:9">
      <c r="A37" s="976"/>
      <c r="B37" s="976"/>
      <c r="C37" s="976"/>
      <c r="D37" s="976"/>
      <c r="E37" s="15"/>
      <c r="H37" s="976"/>
      <c r="I37" s="976"/>
    </row>
    <row r="38" spans="1:9">
      <c r="A38" s="976"/>
      <c r="B38" s="976"/>
      <c r="C38" s="976"/>
      <c r="D38" s="976"/>
      <c r="E38" s="15"/>
      <c r="H38" s="976"/>
      <c r="I38" s="976"/>
    </row>
    <row r="39" spans="1:9">
      <c r="A39" s="976"/>
      <c r="B39" s="976"/>
      <c r="C39" s="976"/>
      <c r="D39" s="976"/>
      <c r="E39" s="15"/>
      <c r="H39" s="976"/>
      <c r="I39" s="976"/>
    </row>
    <row r="40" spans="1:9">
      <c r="A40" s="35"/>
      <c r="B40" s="15"/>
      <c r="C40" s="15"/>
      <c r="D40" s="15"/>
      <c r="E40" s="15"/>
      <c r="H40" s="976"/>
      <c r="I40" s="976"/>
    </row>
    <row r="41" spans="1:9" ht="17.399999999999999">
      <c r="A41" s="38"/>
      <c r="B41" s="984"/>
      <c r="C41" s="984"/>
      <c r="D41" s="984"/>
      <c r="E41" s="36"/>
      <c r="H41" s="976"/>
      <c r="I41" s="976"/>
    </row>
    <row r="42" spans="1:9">
      <c r="A42" s="35"/>
      <c r="B42" s="14"/>
      <c r="C42" s="14"/>
      <c r="D42" s="14"/>
      <c r="E42" s="14"/>
      <c r="H42" s="976"/>
      <c r="I42" s="976"/>
    </row>
    <row r="43" spans="1:9" ht="15.6">
      <c r="A43" s="987"/>
      <c r="B43" s="987"/>
      <c r="C43" s="987"/>
      <c r="D43" s="987"/>
      <c r="E43" s="33"/>
    </row>
    <row r="44" spans="1:9" ht="17.399999999999999">
      <c r="A44" s="986"/>
      <c r="B44" s="986"/>
      <c r="C44" s="986"/>
      <c r="D44" s="986"/>
      <c r="E44" s="36"/>
    </row>
    <row r="45" spans="1:9">
      <c r="A45" s="35"/>
      <c r="B45" s="14"/>
      <c r="C45" s="14"/>
      <c r="D45" s="14"/>
      <c r="E45" s="14"/>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2" spans="1:9">
      <c r="I52" s="37"/>
    </row>
    <row r="55" spans="1:9">
      <c r="I55" s="30"/>
    </row>
    <row r="56" spans="1:9">
      <c r="I56" s="985"/>
    </row>
    <row r="57" spans="1:9">
      <c r="I57" s="985"/>
    </row>
    <row r="58" spans="1:9">
      <c r="I58" s="985"/>
    </row>
  </sheetData>
  <mergeCells count="53">
    <mergeCell ref="A6:I6"/>
    <mergeCell ref="A14:D14"/>
    <mergeCell ref="A8:I8"/>
    <mergeCell ref="A11:I11"/>
    <mergeCell ref="A10:I10"/>
    <mergeCell ref="A7:I7"/>
    <mergeCell ref="A13:I13"/>
    <mergeCell ref="A12:I12"/>
    <mergeCell ref="M3:U3"/>
    <mergeCell ref="A1:I1"/>
    <mergeCell ref="A4:I4"/>
    <mergeCell ref="A3:I3"/>
    <mergeCell ref="A5:I5"/>
    <mergeCell ref="A2:I2"/>
    <mergeCell ref="I56:I58"/>
    <mergeCell ref="A44:D44"/>
    <mergeCell ref="A30:D30"/>
    <mergeCell ref="A32:D32"/>
    <mergeCell ref="A33:D33"/>
    <mergeCell ref="A34:D34"/>
    <mergeCell ref="A35:D35"/>
    <mergeCell ref="A36:D36"/>
    <mergeCell ref="A37:D37"/>
    <mergeCell ref="A38:D38"/>
    <mergeCell ref="A39:D39"/>
    <mergeCell ref="A43:D43"/>
    <mergeCell ref="H35:I35"/>
    <mergeCell ref="H36:I36"/>
    <mergeCell ref="H42:I42"/>
    <mergeCell ref="B41:D41"/>
    <mergeCell ref="H40:I40"/>
    <mergeCell ref="H41:I41"/>
    <mergeCell ref="B28:D28"/>
    <mergeCell ref="H33:I33"/>
    <mergeCell ref="H34:I34"/>
    <mergeCell ref="H37:I37"/>
    <mergeCell ref="H38:I38"/>
    <mergeCell ref="H39:I39"/>
    <mergeCell ref="A27:D27"/>
    <mergeCell ref="F16:I16"/>
    <mergeCell ref="A9:I9"/>
    <mergeCell ref="F23:I23"/>
    <mergeCell ref="F22:I22"/>
    <mergeCell ref="F17:I19"/>
    <mergeCell ref="F20:I21"/>
    <mergeCell ref="A15:D15"/>
    <mergeCell ref="A16:D18"/>
    <mergeCell ref="E16:E18"/>
    <mergeCell ref="A19:B22"/>
    <mergeCell ref="E19:E22"/>
    <mergeCell ref="A25:I25"/>
    <mergeCell ref="F14:I14"/>
    <mergeCell ref="F15:I15"/>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77734375" defaultRowHeight="13.2"/>
  <cols>
    <col min="1" max="7" width="12.6640625" style="206" customWidth="1"/>
    <col min="8" max="8" width="14" style="206" customWidth="1"/>
    <col min="9" max="10" width="12.6640625" style="206" customWidth="1"/>
    <col min="11" max="11" width="8.77734375" style="206"/>
    <col min="12" max="12" width="11.33203125" style="206" bestFit="1" customWidth="1"/>
    <col min="13" max="16384" width="8.77734375" style="206"/>
  </cols>
  <sheetData>
    <row r="1" spans="1:14" ht="21">
      <c r="A1" s="1208" t="s">
        <v>19</v>
      </c>
      <c r="B1" s="1209"/>
      <c r="C1" s="1209"/>
      <c r="D1" s="1209"/>
      <c r="E1" s="1209"/>
      <c r="F1" s="1209"/>
      <c r="G1" s="1209"/>
      <c r="H1" s="1209"/>
      <c r="I1" s="1210"/>
    </row>
    <row r="2" spans="1:14" ht="39" customHeight="1">
      <c r="A2" s="1762" t="s">
        <v>186</v>
      </c>
      <c r="B2" s="1763"/>
      <c r="C2" s="1763"/>
      <c r="D2" s="1763"/>
      <c r="E2" s="1763"/>
      <c r="F2" s="1763"/>
      <c r="G2" s="1763"/>
      <c r="H2" s="1763"/>
      <c r="I2" s="1764"/>
    </row>
    <row r="3" spans="1:14" ht="21">
      <c r="A3" s="1222" t="str">
        <f>'Forside 1'!A6:I6</f>
        <v>Gældende fra 1. november 2025</v>
      </c>
      <c r="B3" s="1223"/>
      <c r="C3" s="1223"/>
      <c r="D3" s="1223"/>
      <c r="E3" s="1223"/>
      <c r="F3" s="1223"/>
      <c r="G3" s="1223"/>
      <c r="H3" s="1223"/>
      <c r="I3" s="1224"/>
    </row>
    <row r="4" spans="1:14" ht="34.049999999999997" customHeight="1" thickBot="1">
      <c r="A4" s="1830" t="s">
        <v>297</v>
      </c>
      <c r="B4" s="1831"/>
      <c r="C4" s="1831"/>
      <c r="D4" s="1831"/>
      <c r="E4" s="1831"/>
      <c r="F4" s="1831"/>
      <c r="G4" s="1831"/>
      <c r="H4" s="1831"/>
      <c r="I4" s="1832"/>
    </row>
    <row r="5" spans="1:14" ht="13.8">
      <c r="A5" s="222"/>
      <c r="B5" s="222"/>
      <c r="C5" s="222"/>
      <c r="D5" s="222"/>
      <c r="E5" s="222"/>
      <c r="F5" s="222"/>
      <c r="G5" s="222"/>
      <c r="H5" s="222"/>
      <c r="I5" s="222"/>
      <c r="J5" s="222"/>
    </row>
    <row r="6" spans="1:14" ht="14.4" thickBot="1">
      <c r="A6" s="222"/>
      <c r="B6" s="222"/>
      <c r="C6" s="222"/>
      <c r="D6" s="222"/>
      <c r="E6" s="222"/>
      <c r="F6" s="222"/>
      <c r="G6" s="222"/>
      <c r="H6" s="222"/>
      <c r="I6" s="222"/>
      <c r="J6" s="222"/>
    </row>
    <row r="7" spans="1:14" s="232" customFormat="1" ht="18" thickBot="1">
      <c r="A7" s="1656" t="s">
        <v>274</v>
      </c>
      <c r="B7" s="1657"/>
      <c r="C7" s="1657"/>
      <c r="D7" s="1657"/>
      <c r="E7" s="1657"/>
      <c r="F7" s="1658"/>
      <c r="G7" s="1656" t="s">
        <v>165</v>
      </c>
      <c r="H7" s="1657"/>
      <c r="I7" s="1658"/>
      <c r="J7" s="665"/>
    </row>
    <row r="8" spans="1:14" s="232" customFormat="1" ht="13.8">
      <c r="A8" s="491" t="s">
        <v>57</v>
      </c>
      <c r="B8" s="492" t="s">
        <v>72</v>
      </c>
      <c r="C8" s="492" t="s">
        <v>73</v>
      </c>
      <c r="D8" s="492" t="s">
        <v>74</v>
      </c>
      <c r="E8" s="492" t="s">
        <v>75</v>
      </c>
      <c r="F8" s="492" t="s">
        <v>76</v>
      </c>
      <c r="G8" s="1824" t="s">
        <v>376</v>
      </c>
      <c r="H8" s="1825"/>
      <c r="I8" s="666">
        <v>0.14000000000000001</v>
      </c>
    </row>
    <row r="9" spans="1:14" s="232" customFormat="1" ht="13.95" customHeight="1">
      <c r="A9" s="270" t="s">
        <v>205</v>
      </c>
      <c r="B9" s="451" t="e">
        <f>'Statens skalatrin'!D46+('3f (DFF, DPS, LS, DSSV)'!#REF!/12)</f>
        <v>#REF!</v>
      </c>
      <c r="C9" s="451" t="e">
        <f>'Statens skalatrin'!F46+('3f (DFF, DPS, LS, DSSV)'!#REF!/12)</f>
        <v>#REF!</v>
      </c>
      <c r="D9" s="451" t="e">
        <f>'Statens skalatrin'!H46+('3f (DFF, DPS, LS, DSSV)'!#REF!/12)</f>
        <v>#REF!</v>
      </c>
      <c r="E9" s="451" t="e">
        <f>'Statens skalatrin'!J46+('3f (DFF, DPS, LS, DSSV)'!#REF!/12)</f>
        <v>#REF!</v>
      </c>
      <c r="F9" s="451" t="e">
        <f>'Statens skalatrin'!L46+('3f (DFF, DPS, LS, DSSV)'!#REF!/12)</f>
        <v>#REF!</v>
      </c>
      <c r="G9" s="1826">
        <f>'Statens skalatrin'!O46</f>
        <v>22152.13</v>
      </c>
      <c r="H9" s="1827"/>
      <c r="I9" s="329">
        <f>G9*$I$8</f>
        <v>3101.2982000000006</v>
      </c>
      <c r="J9" s="235"/>
      <c r="K9" s="231"/>
    </row>
    <row r="10" spans="1:14" s="232" customFormat="1" ht="15" customHeight="1">
      <c r="A10" s="270">
        <v>17</v>
      </c>
      <c r="B10" s="451">
        <f>'Statens skalatrin'!D55</f>
        <v>24878.92</v>
      </c>
      <c r="C10" s="451">
        <f>'Statens skalatrin'!F55</f>
        <v>25410.75</v>
      </c>
      <c r="D10" s="451">
        <f>'Statens skalatrin'!H55</f>
        <v>25778.92</v>
      </c>
      <c r="E10" s="451">
        <f>'Statens skalatrin'!J55</f>
        <v>26310.67</v>
      </c>
      <c r="F10" s="451">
        <f>'Statens skalatrin'!L55</f>
        <v>26678.58</v>
      </c>
      <c r="G10" s="1826">
        <f>'Statens skalatrin'!O55</f>
        <v>23366.37</v>
      </c>
      <c r="H10" s="1827"/>
      <c r="I10" s="329">
        <f>G10*$I$8</f>
        <v>3271.2918</v>
      </c>
      <c r="J10" s="235"/>
      <c r="K10" s="231"/>
    </row>
    <row r="11" spans="1:14" s="232" customFormat="1" ht="15" customHeight="1" thickBot="1">
      <c r="A11" s="271" t="s">
        <v>166</v>
      </c>
      <c r="B11" s="452" t="e">
        <f>'Statens skalatrin'!D64+('3f (DFF, DPS, LS, DSSV)'!#REF!/12)</f>
        <v>#REF!</v>
      </c>
      <c r="C11" s="452" t="e">
        <f>'Statens skalatrin'!F64+('3f (DFF, DPS, LS, DSSV)'!#REF!/12)</f>
        <v>#REF!</v>
      </c>
      <c r="D11" s="452" t="e">
        <f>'Statens skalatrin'!H64+('3f (DFF, DPS, LS, DSSV)'!#REF!/12)</f>
        <v>#REF!</v>
      </c>
      <c r="E11" s="452" t="e">
        <f>'Statens skalatrin'!J64+('3f (DFF, DPS, LS, DSSV)'!#REF!/12)</f>
        <v>#REF!</v>
      </c>
      <c r="F11" s="452" t="e">
        <f>'Statens skalatrin'!L64+('3f (DFF, DPS, LS, DSSV)'!#REF!/12)</f>
        <v>#REF!</v>
      </c>
      <c r="G11" s="1828">
        <f>'Statens skalatrin'!O64</f>
        <v>24683.73</v>
      </c>
      <c r="H11" s="1829"/>
      <c r="I11" s="330">
        <f>G11*$I$8</f>
        <v>3455.7222000000002</v>
      </c>
      <c r="J11" s="235"/>
      <c r="K11" s="231"/>
      <c r="N11" s="234"/>
    </row>
    <row r="12" spans="1:14" s="232" customFormat="1" ht="13.8">
      <c r="B12" s="233"/>
      <c r="C12" s="233"/>
      <c r="D12" s="233"/>
      <c r="E12" s="233"/>
      <c r="F12" s="233"/>
    </row>
    <row r="13" spans="1:14" s="232" customFormat="1" ht="14.4" thickBot="1">
      <c r="B13" s="233"/>
      <c r="C13" s="233"/>
      <c r="D13" s="233"/>
      <c r="E13" s="233"/>
      <c r="F13" s="233"/>
    </row>
    <row r="14" spans="1:14" s="232" customFormat="1" ht="18" thickBot="1">
      <c r="A14" s="1656" t="s">
        <v>275</v>
      </c>
      <c r="B14" s="1657"/>
      <c r="C14" s="1657"/>
      <c r="D14" s="1657"/>
      <c r="E14" s="1657"/>
      <c r="F14" s="1658"/>
    </row>
    <row r="15" spans="1:14" s="232" customFormat="1" ht="15" customHeight="1" thickBot="1">
      <c r="A15" s="1842" t="s">
        <v>168</v>
      </c>
      <c r="B15" s="1843"/>
      <c r="C15" s="1843"/>
      <c r="D15" s="1843"/>
      <c r="E15" s="1843"/>
      <c r="F15" s="1844"/>
    </row>
    <row r="16" spans="1:14" s="232" customFormat="1" ht="16.05" customHeight="1">
      <c r="A16" s="421" t="s">
        <v>57</v>
      </c>
      <c r="B16" s="422" t="s">
        <v>72</v>
      </c>
      <c r="C16" s="421" t="s">
        <v>73</v>
      </c>
      <c r="D16" s="422" t="s">
        <v>74</v>
      </c>
      <c r="E16" s="421" t="s">
        <v>75</v>
      </c>
      <c r="F16" s="423" t="s">
        <v>76</v>
      </c>
    </row>
    <row r="17" spans="1:12" s="232" customFormat="1" ht="16.05" customHeight="1" thickBot="1">
      <c r="A17" s="245" t="s">
        <v>205</v>
      </c>
      <c r="B17" s="453" t="e">
        <f>B9*12/1924</f>
        <v>#REF!</v>
      </c>
      <c r="C17" s="454" t="e">
        <f>C9*12/1924</f>
        <v>#REF!</v>
      </c>
      <c r="D17" s="453" t="e">
        <f>D9*12/1924</f>
        <v>#REF!</v>
      </c>
      <c r="E17" s="454" t="e">
        <f>(E9*12)/1924</f>
        <v>#REF!</v>
      </c>
      <c r="F17" s="455" t="e">
        <f>(F9*12)/1924</f>
        <v>#REF!</v>
      </c>
      <c r="H17" s="231"/>
      <c r="I17" s="231"/>
      <c r="J17" s="231"/>
      <c r="K17" s="231"/>
      <c r="L17" s="231"/>
    </row>
    <row r="18" spans="1:12" s="232" customFormat="1" ht="16.05" customHeight="1">
      <c r="A18" s="241"/>
      <c r="B18" s="240"/>
      <c r="C18" s="240"/>
      <c r="D18" s="240"/>
      <c r="E18" s="240"/>
      <c r="F18" s="240"/>
      <c r="H18" s="231"/>
      <c r="I18" s="231"/>
      <c r="J18" s="231"/>
      <c r="K18" s="231"/>
      <c r="L18" s="231"/>
    </row>
    <row r="19" spans="1:12" s="232" customFormat="1" ht="14.4" thickBot="1">
      <c r="A19" s="241"/>
      <c r="B19" s="240"/>
      <c r="C19" s="240"/>
      <c r="D19" s="240"/>
      <c r="E19" s="240"/>
      <c r="F19" s="240"/>
    </row>
    <row r="20" spans="1:12" ht="19.95" customHeight="1">
      <c r="A20" s="1099" t="s">
        <v>169</v>
      </c>
      <c r="B20" s="1100"/>
      <c r="C20" s="1100"/>
      <c r="D20" s="1100"/>
      <c r="E20" s="1100"/>
      <c r="F20" s="1100"/>
      <c r="G20" s="1100"/>
      <c r="H20" s="1100"/>
      <c r="I20" s="1101"/>
      <c r="J20" s="222"/>
    </row>
    <row r="21" spans="1:12" ht="19.95" customHeight="1" thickBot="1">
      <c r="A21" s="1154" t="s">
        <v>280</v>
      </c>
      <c r="B21" s="1155"/>
      <c r="C21" s="1155"/>
      <c r="D21" s="1155"/>
      <c r="E21" s="1155"/>
      <c r="F21" s="1155"/>
      <c r="G21" s="1155"/>
      <c r="H21" s="1155"/>
      <c r="I21" s="1156"/>
      <c r="J21" s="222"/>
    </row>
    <row r="22" spans="1:12" s="232" customFormat="1" ht="30" customHeight="1" thickBot="1">
      <c r="A22" s="1747"/>
      <c r="B22" s="1748"/>
      <c r="C22" s="1748"/>
      <c r="D22" s="1748"/>
      <c r="E22" s="1748"/>
      <c r="F22" s="1748"/>
      <c r="G22" s="1748"/>
      <c r="H22" s="574" t="s">
        <v>307</v>
      </c>
      <c r="I22" s="569" t="s">
        <v>308</v>
      </c>
    </row>
    <row r="23" spans="1:12" s="232" customFormat="1" ht="14.4" thickBot="1">
      <c r="A23" s="1806"/>
      <c r="B23" s="1807"/>
      <c r="C23" s="1807"/>
      <c r="D23" s="1807"/>
      <c r="E23" s="1807"/>
      <c r="F23" s="1807"/>
      <c r="G23" s="1808"/>
      <c r="H23" s="513">
        <v>40999</v>
      </c>
      <c r="I23" s="576" t="str">
        <f>'Løntabel gældende fra'!D1</f>
        <v>01-11-2025</v>
      </c>
    </row>
    <row r="24" spans="1:12" s="232" customFormat="1" ht="16.95" customHeight="1">
      <c r="A24" s="1840" t="s">
        <v>170</v>
      </c>
      <c r="B24" s="1841"/>
      <c r="C24" s="1841"/>
      <c r="D24" s="1841"/>
      <c r="E24" s="1841"/>
      <c r="F24" s="493"/>
      <c r="G24" s="494" t="s">
        <v>162</v>
      </c>
      <c r="H24" s="158">
        <v>22.32</v>
      </c>
      <c r="I24" s="496">
        <f>H24+(H24*'Løntabel gældende fra'!$D$7%)</f>
        <v>27.880492320000002</v>
      </c>
    </row>
    <row r="25" spans="1:12" s="232" customFormat="1" ht="16.95" customHeight="1">
      <c r="A25" s="1760" t="s">
        <v>171</v>
      </c>
      <c r="B25" s="1761"/>
      <c r="C25" s="1761"/>
      <c r="D25" s="1761"/>
      <c r="E25" s="1761"/>
      <c r="F25" s="247"/>
      <c r="G25" s="230" t="s">
        <v>162</v>
      </c>
      <c r="H25" s="175">
        <v>39.92</v>
      </c>
      <c r="I25" s="496">
        <f>H25+(H25*'Løntabel gældende fra'!$D$7%)</f>
        <v>49.865109920000002</v>
      </c>
    </row>
    <row r="26" spans="1:12" s="232" customFormat="1" ht="16.95" customHeight="1">
      <c r="A26" s="1752" t="s">
        <v>172</v>
      </c>
      <c r="B26" s="1753"/>
      <c r="C26" s="1753"/>
      <c r="D26" s="1753"/>
      <c r="E26" s="1753"/>
      <c r="F26" s="1753"/>
      <c r="G26" s="230" t="s">
        <v>162</v>
      </c>
      <c r="H26" s="175">
        <v>39.92</v>
      </c>
      <c r="I26" s="496">
        <f>H26+(H26*'Løntabel gældende fra'!$D$7%)</f>
        <v>49.865109920000002</v>
      </c>
    </row>
    <row r="27" spans="1:12" s="232" customFormat="1" ht="16.95" customHeight="1" thickBot="1">
      <c r="A27" s="260" t="s">
        <v>161</v>
      </c>
      <c r="B27" s="259"/>
      <c r="C27" s="259"/>
      <c r="D27" s="259"/>
      <c r="E27" s="244"/>
      <c r="F27" s="244"/>
      <c r="G27" s="254" t="s">
        <v>162</v>
      </c>
      <c r="H27" s="159">
        <v>39.92</v>
      </c>
      <c r="I27" s="486">
        <f>H27+(H27*'Løntabel gældende fra'!$D$7%)</f>
        <v>49.865109920000002</v>
      </c>
    </row>
    <row r="28" spans="1:12" s="232" customFormat="1" ht="13.8">
      <c r="A28" s="222"/>
      <c r="B28" s="222"/>
      <c r="C28" s="222"/>
      <c r="D28" s="222"/>
      <c r="E28" s="222"/>
      <c r="F28" s="223"/>
      <c r="G28" s="222"/>
      <c r="H28" s="223"/>
      <c r="I28" s="222"/>
    </row>
    <row r="29" spans="1:12" s="232" customFormat="1" ht="14.4" thickBot="1">
      <c r="A29" s="222"/>
      <c r="B29" s="222"/>
      <c r="C29" s="222"/>
      <c r="D29" s="222"/>
      <c r="E29" s="222"/>
      <c r="F29" s="223"/>
      <c r="G29" s="222"/>
      <c r="H29" s="223"/>
      <c r="I29" s="222"/>
    </row>
    <row r="30" spans="1:12" s="232" customFormat="1" ht="17.399999999999999">
      <c r="A30" s="1099" t="s">
        <v>173</v>
      </c>
      <c r="B30" s="1100"/>
      <c r="C30" s="1100"/>
      <c r="D30" s="1100"/>
      <c r="E30" s="1100"/>
      <c r="F30" s="1100"/>
      <c r="G30" s="1100"/>
      <c r="H30" s="1100"/>
      <c r="I30" s="1101"/>
    </row>
    <row r="31" spans="1:12" s="232" customFormat="1" ht="15.6" thickBot="1">
      <c r="A31" s="1154" t="s">
        <v>276</v>
      </c>
      <c r="B31" s="1155"/>
      <c r="C31" s="1155"/>
      <c r="D31" s="1155"/>
      <c r="E31" s="1155"/>
      <c r="F31" s="1155"/>
      <c r="G31" s="1155"/>
      <c r="H31" s="1155"/>
      <c r="I31" s="1156"/>
    </row>
    <row r="32" spans="1:12" s="232" customFormat="1" ht="28.2" thickBot="1">
      <c r="A32" s="1806"/>
      <c r="B32" s="1807"/>
      <c r="C32" s="1807"/>
      <c r="D32" s="1807"/>
      <c r="E32" s="1807"/>
      <c r="F32" s="1807"/>
      <c r="G32" s="1808"/>
      <c r="H32" s="574" t="s">
        <v>307</v>
      </c>
      <c r="I32" s="569" t="s">
        <v>308</v>
      </c>
    </row>
    <row r="33" spans="1:9" s="232" customFormat="1" ht="14.4" thickBot="1">
      <c r="A33" s="1837"/>
      <c r="B33" s="1838"/>
      <c r="C33" s="1838"/>
      <c r="D33" s="1838"/>
      <c r="E33" s="1838"/>
      <c r="F33" s="1838"/>
      <c r="G33" s="1839"/>
      <c r="H33" s="513">
        <v>40999</v>
      </c>
      <c r="I33" s="576" t="str">
        <f>'Løntabel gældende fra'!D1</f>
        <v>01-11-2025</v>
      </c>
    </row>
    <row r="34" spans="1:9" s="232" customFormat="1" ht="14.4" thickBot="1">
      <c r="A34" s="1280" t="s">
        <v>268</v>
      </c>
      <c r="B34" s="1281"/>
      <c r="C34" s="1281"/>
      <c r="D34" s="1281"/>
      <c r="E34" s="1281"/>
      <c r="F34" s="522"/>
      <c r="G34" s="523" t="s">
        <v>162</v>
      </c>
      <c r="H34" s="160">
        <v>6.88</v>
      </c>
      <c r="I34" s="486">
        <f>H34+(H34*'Løntabel gældende fra'!D7%)</f>
        <v>8.5939868799999992</v>
      </c>
    </row>
    <row r="35" spans="1:9" s="232" customFormat="1" ht="13.8">
      <c r="A35" s="222"/>
      <c r="B35" s="222"/>
      <c r="C35" s="222"/>
      <c r="D35" s="222"/>
      <c r="E35" s="222"/>
      <c r="F35" s="223"/>
      <c r="G35" s="222"/>
      <c r="H35" s="223"/>
      <c r="I35" s="222"/>
    </row>
    <row r="36" spans="1:9" s="232" customFormat="1" ht="14.4" thickBot="1">
      <c r="A36" s="222"/>
      <c r="B36" s="222"/>
      <c r="C36" s="222"/>
      <c r="D36" s="222"/>
      <c r="E36" s="222"/>
      <c r="F36" s="223"/>
      <c r="G36" s="222"/>
      <c r="H36" s="223"/>
      <c r="I36" s="222"/>
    </row>
    <row r="37" spans="1:9" s="232" customFormat="1" ht="17.399999999999999">
      <c r="A37" s="1099" t="s">
        <v>293</v>
      </c>
      <c r="B37" s="1100"/>
      <c r="C37" s="1100"/>
      <c r="D37" s="1100"/>
      <c r="E37" s="1100"/>
      <c r="F37" s="1100"/>
      <c r="G37" s="1100"/>
      <c r="H37" s="1100"/>
      <c r="I37" s="1101"/>
    </row>
    <row r="38" spans="1:9" s="232" customFormat="1" ht="15.6" thickBot="1">
      <c r="A38" s="1057" t="s">
        <v>280</v>
      </c>
      <c r="B38" s="1058"/>
      <c r="C38" s="1058"/>
      <c r="D38" s="1058"/>
      <c r="E38" s="1058"/>
      <c r="F38" s="1058"/>
      <c r="G38" s="1058"/>
      <c r="H38" s="1058"/>
      <c r="I38" s="1059"/>
    </row>
    <row r="39" spans="1:9" s="232" customFormat="1" ht="33" customHeight="1">
      <c r="A39" s="1812"/>
      <c r="B39" s="1813"/>
      <c r="C39" s="1813"/>
      <c r="D39" s="1813"/>
      <c r="E39" s="1813"/>
      <c r="F39" s="1813"/>
      <c r="G39" s="1814"/>
      <c r="H39" s="572" t="s">
        <v>128</v>
      </c>
      <c r="I39" s="568" t="s">
        <v>306</v>
      </c>
    </row>
    <row r="40" spans="1:9" s="232" customFormat="1" ht="14.4" thickBot="1">
      <c r="A40" s="1834"/>
      <c r="B40" s="1835"/>
      <c r="C40" s="1835"/>
      <c r="D40" s="1835"/>
      <c r="E40" s="1835"/>
      <c r="F40" s="1835"/>
      <c r="G40" s="1836"/>
      <c r="H40" s="513">
        <v>40999</v>
      </c>
      <c r="I40" s="576" t="str">
        <f>'Løntabel gældende fra'!D1</f>
        <v>01-11-2025</v>
      </c>
    </row>
    <row r="41" spans="1:9" s="232" customFormat="1" ht="14.4" thickBot="1">
      <c r="A41" s="1280" t="s">
        <v>269</v>
      </c>
      <c r="B41" s="1281"/>
      <c r="C41" s="1281"/>
      <c r="D41" s="1281"/>
      <c r="E41" s="1281"/>
      <c r="F41" s="522"/>
      <c r="G41" s="523"/>
      <c r="H41" s="160">
        <v>655</v>
      </c>
      <c r="I41" s="486">
        <f>H41+(H41*'Løntabel gældende fra'!D7%)</f>
        <v>818.17753000000005</v>
      </c>
    </row>
    <row r="42" spans="1:9" s="232" customFormat="1" ht="13.8">
      <c r="A42" s="222"/>
      <c r="B42" s="222"/>
      <c r="C42" s="222"/>
      <c r="D42" s="222"/>
      <c r="E42" s="222"/>
      <c r="F42" s="223"/>
      <c r="G42" s="222"/>
      <c r="H42" s="223"/>
      <c r="I42" s="222"/>
    </row>
    <row r="43" spans="1:9" s="232" customFormat="1" ht="14.4" thickBot="1">
      <c r="A43" s="222"/>
      <c r="B43" s="222"/>
      <c r="C43" s="222"/>
      <c r="D43" s="222"/>
      <c r="E43" s="222"/>
      <c r="F43" s="223"/>
      <c r="G43" s="222"/>
      <c r="H43" s="223"/>
      <c r="I43" s="222"/>
    </row>
    <row r="44" spans="1:9" s="232" customFormat="1" ht="17.399999999999999">
      <c r="A44" s="1099" t="s">
        <v>292</v>
      </c>
      <c r="B44" s="1100"/>
      <c r="C44" s="1100"/>
      <c r="D44" s="1100"/>
      <c r="E44" s="1100"/>
      <c r="F44" s="1100"/>
      <c r="G44" s="1100"/>
      <c r="H44" s="1100"/>
      <c r="I44" s="1101"/>
    </row>
    <row r="45" spans="1:9" s="232" customFormat="1" ht="15.6" thickBot="1">
      <c r="A45" s="1057" t="s">
        <v>276</v>
      </c>
      <c r="B45" s="1058"/>
      <c r="C45" s="1058"/>
      <c r="D45" s="1058"/>
      <c r="E45" s="1058"/>
      <c r="F45" s="1058"/>
      <c r="G45" s="1058"/>
      <c r="H45" s="1058"/>
      <c r="I45" s="1059"/>
    </row>
    <row r="46" spans="1:9" s="232" customFormat="1" ht="27.6">
      <c r="A46" s="1277"/>
      <c r="B46" s="1278"/>
      <c r="C46" s="1278"/>
      <c r="D46" s="1278"/>
      <c r="E46" s="1278"/>
      <c r="F46" s="1278"/>
      <c r="G46" s="1279"/>
      <c r="H46" s="572" t="s">
        <v>128</v>
      </c>
      <c r="I46" s="568" t="s">
        <v>306</v>
      </c>
    </row>
    <row r="47" spans="1:9" s="232" customFormat="1" ht="14.4" thickBot="1">
      <c r="A47" s="1280"/>
      <c r="B47" s="1281"/>
      <c r="C47" s="1281"/>
      <c r="D47" s="1281"/>
      <c r="E47" s="1281"/>
      <c r="F47" s="1281"/>
      <c r="G47" s="1282"/>
      <c r="H47" s="513">
        <v>40999</v>
      </c>
      <c r="I47" s="576" t="str">
        <f>'Løntabel gældende fra'!D1</f>
        <v>01-11-2025</v>
      </c>
    </row>
    <row r="48" spans="1:9" s="232" customFormat="1" ht="14.4" thickBot="1">
      <c r="A48" s="1280" t="s">
        <v>181</v>
      </c>
      <c r="B48" s="1281"/>
      <c r="C48" s="1281"/>
      <c r="D48" s="1281"/>
      <c r="E48" s="1281"/>
      <c r="F48" s="522"/>
      <c r="G48" s="523"/>
      <c r="H48" s="160">
        <v>10500</v>
      </c>
      <c r="I48" s="486">
        <f>H48+(H48*'Løntabel gældende fra'!D7%)</f>
        <v>13115.823</v>
      </c>
    </row>
    <row r="49" spans="1:10" s="232" customFormat="1" ht="13.8"/>
    <row r="50" spans="1:10" s="232" customFormat="1" ht="14.4" thickBot="1"/>
    <row r="51" spans="1:10" s="232" customFormat="1" ht="17.399999999999999">
      <c r="A51" s="1099" t="s">
        <v>291</v>
      </c>
      <c r="B51" s="1100"/>
      <c r="C51" s="1100"/>
      <c r="D51" s="1100"/>
      <c r="E51" s="1100"/>
      <c r="F51" s="1100"/>
      <c r="G51" s="1100"/>
      <c r="H51" s="1100"/>
      <c r="I51" s="1101"/>
    </row>
    <row r="52" spans="1:10" s="232" customFormat="1" ht="15.6" thickBot="1">
      <c r="A52" s="1154" t="s">
        <v>276</v>
      </c>
      <c r="B52" s="1155"/>
      <c r="C52" s="1155"/>
      <c r="D52" s="1155"/>
      <c r="E52" s="1155"/>
      <c r="F52" s="1155"/>
      <c r="G52" s="1155"/>
      <c r="H52" s="1155"/>
      <c r="I52" s="1156"/>
    </row>
    <row r="53" spans="1:10" s="232" customFormat="1" ht="13.8">
      <c r="A53" s="1809" t="s">
        <v>355</v>
      </c>
      <c r="B53" s="1810"/>
      <c r="C53" s="1810"/>
      <c r="D53" s="1810"/>
      <c r="E53" s="1810"/>
      <c r="F53" s="1810"/>
      <c r="G53" s="1811"/>
      <c r="H53" s="518" t="s">
        <v>95</v>
      </c>
      <c r="I53" s="519" t="s">
        <v>100</v>
      </c>
    </row>
    <row r="54" spans="1:10" s="232" customFormat="1" ht="14.4" thickBot="1">
      <c r="A54" s="1742"/>
      <c r="B54" s="1743"/>
      <c r="C54" s="1743"/>
      <c r="D54" s="1743"/>
      <c r="E54" s="1743"/>
      <c r="F54" s="1743"/>
      <c r="G54" s="1744"/>
      <c r="H54" s="520">
        <v>40999</v>
      </c>
      <c r="I54" s="576" t="str">
        <f>'Løntabel gældende fra'!D1</f>
        <v>01-11-2025</v>
      </c>
    </row>
    <row r="55" spans="1:10" s="232" customFormat="1" ht="14.4" thickBot="1">
      <c r="A55" s="1745" t="s">
        <v>273</v>
      </c>
      <c r="B55" s="1746"/>
      <c r="C55" s="1746"/>
      <c r="D55" s="1746"/>
      <c r="E55" s="1746"/>
      <c r="F55" s="228"/>
      <c r="G55" s="239"/>
      <c r="H55" s="297">
        <v>0</v>
      </c>
      <c r="I55" s="290">
        <v>0</v>
      </c>
    </row>
    <row r="56" spans="1:10" s="232" customFormat="1" ht="13.8"/>
    <row r="57" spans="1:10" s="232" customFormat="1" ht="13.8">
      <c r="A57" s="1833"/>
      <c r="B57" s="1833"/>
      <c r="C57" s="1833"/>
      <c r="D57" s="1833"/>
      <c r="E57" s="1833"/>
      <c r="F57" s="1833"/>
      <c r="G57" s="1833"/>
      <c r="H57" s="1833"/>
      <c r="I57" s="1833"/>
      <c r="J57" s="1833"/>
    </row>
    <row r="58" spans="1:10" s="232" customFormat="1" ht="13.8">
      <c r="A58" s="487"/>
    </row>
    <row r="59" spans="1:10" s="232" customFormat="1" ht="13.8"/>
    <row r="60" spans="1:10" s="232" customFormat="1" ht="13.8"/>
    <row r="61" spans="1:10" s="232" customFormat="1" ht="13.8"/>
    <row r="62" spans="1:10" s="232" customFormat="1" ht="13.8"/>
    <row r="72" s="232" customFormat="1" ht="13.8"/>
    <row r="73" s="232" customFormat="1" ht="13.8"/>
    <row r="74" s="232" customFormat="1" ht="13.8"/>
    <row r="75" s="232" customFormat="1" ht="13.8"/>
    <row r="76" s="232" customFormat="1" ht="13.8"/>
    <row r="77" s="232" customFormat="1" ht="13.8"/>
    <row r="78" s="232" customFormat="1" ht="13.8"/>
    <row r="79" s="232" customFormat="1" ht="13.8"/>
    <row r="80" s="232" customFormat="1" ht="13.8"/>
    <row r="81" s="232" customFormat="1" ht="13.8"/>
    <row r="82" s="232" customFormat="1" ht="13.8"/>
    <row r="83" s="232" customFormat="1" ht="13.8"/>
    <row r="84" s="232" customFormat="1" ht="13.8"/>
    <row r="85" s="232" customFormat="1" ht="13.8"/>
    <row r="86" s="232" customFormat="1" ht="13.8"/>
    <row r="87" s="232" customFormat="1" ht="13.8"/>
    <row r="88" s="232" customFormat="1" ht="13.8"/>
    <row r="89" s="232" customFormat="1" ht="13.8"/>
    <row r="90" s="232" customFormat="1" ht="13.8"/>
    <row r="91" s="232" customFormat="1" ht="13.8"/>
    <row r="92" s="232" customFormat="1" ht="13.8"/>
    <row r="93" s="232" customFormat="1" ht="13.8"/>
    <row r="94" s="232" customFormat="1" ht="13.8"/>
    <row r="95" s="232" customFormat="1" ht="13.8"/>
    <row r="96" s="232" customFormat="1" ht="13.8"/>
    <row r="97" s="232" customFormat="1" ht="13.8"/>
    <row r="98" s="232" customFormat="1" ht="13.8"/>
    <row r="99" s="232" customFormat="1" ht="13.8"/>
    <row r="100" s="232" customFormat="1" ht="13.8"/>
    <row r="101" s="232" customFormat="1" ht="13.8"/>
    <row r="102" s="232" customFormat="1" ht="13.8"/>
    <row r="103" s="232" customFormat="1" ht="13.8"/>
    <row r="104" s="232" customFormat="1" ht="13.8"/>
    <row r="105" s="232" customFormat="1" ht="13.8"/>
    <row r="106" s="232" customFormat="1" ht="13.8"/>
    <row r="107" s="232" customFormat="1" ht="13.8"/>
    <row r="108" s="232" customFormat="1" ht="13.8"/>
    <row r="109" s="232" customFormat="1" ht="13.8"/>
    <row r="110" s="232" customFormat="1" ht="13.8"/>
    <row r="111" s="232" customFormat="1" ht="13.8"/>
    <row r="112" s="232" customFormat="1" ht="13.8"/>
    <row r="113" s="232" customFormat="1" ht="13.8"/>
    <row r="114" s="232" customFormat="1" ht="13.8"/>
    <row r="115" s="232" customFormat="1" ht="13.8"/>
    <row r="116" s="232" customFormat="1" ht="13.8"/>
    <row r="117" s="232" customFormat="1" ht="13.8"/>
    <row r="118" s="232" customFormat="1" ht="13.8"/>
    <row r="119" s="232" customFormat="1" ht="13.8"/>
    <row r="120" s="232" customFormat="1" ht="13.8"/>
    <row r="121" s="232" customFormat="1" ht="13.8"/>
    <row r="122" s="232" customFormat="1" ht="13.8"/>
    <row r="123" s="232" customFormat="1" ht="13.8"/>
    <row r="124" s="232" customFormat="1" ht="13.8"/>
    <row r="125" s="232" customFormat="1" ht="13.8"/>
    <row r="126" s="232" customFormat="1" ht="13.8"/>
    <row r="127" s="232" customFormat="1" ht="13.8"/>
    <row r="128" s="232" customFormat="1" ht="13.8"/>
    <row r="129" s="232" customFormat="1" ht="13.8"/>
    <row r="130" s="232" customFormat="1" ht="13.8"/>
    <row r="131" s="232" customFormat="1" ht="13.8"/>
    <row r="132" s="232" customFormat="1" ht="13.8"/>
    <row r="133" s="232" customFormat="1" ht="13.8"/>
    <row r="134" s="232" customFormat="1" ht="13.8"/>
    <row r="135" s="232" customFormat="1" ht="13.8"/>
    <row r="136" s="232" customFormat="1" ht="13.8"/>
    <row r="137" s="232" customFormat="1" ht="13.8"/>
    <row r="138" s="232" customFormat="1" ht="13.8"/>
    <row r="139" s="232" customFormat="1" ht="13.8"/>
    <row r="140" s="232" customFormat="1" ht="13.8"/>
    <row r="141" s="232" customFormat="1" ht="13.8"/>
    <row r="142" s="232" customFormat="1" ht="13.8"/>
    <row r="143" s="232" customFormat="1" ht="13.8"/>
    <row r="144" s="232" customFormat="1" ht="13.8"/>
    <row r="145" s="232" customFormat="1" ht="13.8"/>
    <row r="146" s="232" customFormat="1" ht="13.8"/>
    <row r="147" s="232" customFormat="1" ht="13.8"/>
    <row r="148" s="232" customFormat="1" ht="13.8"/>
    <row r="149" s="232" customFormat="1" ht="13.8"/>
    <row r="150" s="232" customFormat="1" ht="13.8"/>
    <row r="151" s="232" customFormat="1" ht="13.8"/>
    <row r="152" s="232" customFormat="1" ht="13.8"/>
    <row r="153" s="232" customFormat="1" ht="13.8"/>
  </sheetData>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8"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topLeftCell="A34" workbookViewId="0">
      <selection activeCell="L1" sqref="L1:Q66"/>
    </sheetView>
  </sheetViews>
  <sheetFormatPr defaultColWidth="8.77734375" defaultRowHeight="13.2"/>
  <cols>
    <col min="1" max="2" width="11.6640625" style="206" customWidth="1"/>
    <col min="3" max="4" width="13.77734375" style="206" customWidth="1"/>
    <col min="5" max="5" width="13.77734375" style="207" customWidth="1"/>
    <col min="6" max="6" width="13.77734375" style="206" customWidth="1"/>
    <col min="7" max="8" width="13.77734375" style="208" customWidth="1"/>
    <col min="9" max="10" width="13.77734375" style="206" customWidth="1"/>
    <col min="11" max="11" width="11.6640625" style="206" customWidth="1"/>
    <col min="12" max="16384" width="8.77734375" style="206"/>
  </cols>
  <sheetData>
    <row r="1" spans="1:10" s="2" customFormat="1" ht="22.05" customHeight="1">
      <c r="A1" s="1208" t="s">
        <v>19</v>
      </c>
      <c r="B1" s="1209"/>
      <c r="C1" s="1209"/>
      <c r="D1" s="1209"/>
      <c r="E1" s="1209"/>
      <c r="F1" s="1209"/>
      <c r="G1" s="1209"/>
      <c r="H1" s="1209"/>
      <c r="I1" s="1209"/>
      <c r="J1" s="1210"/>
    </row>
    <row r="2" spans="1:10" s="2" customFormat="1" ht="22.05" customHeight="1">
      <c r="A2" s="1222" t="s">
        <v>394</v>
      </c>
      <c r="B2" s="1223"/>
      <c r="C2" s="1223"/>
      <c r="D2" s="1223"/>
      <c r="E2" s="1223"/>
      <c r="F2" s="1223"/>
      <c r="G2" s="1223"/>
      <c r="H2" s="1223"/>
      <c r="I2" s="1223"/>
      <c r="J2" s="1224"/>
    </row>
    <row r="3" spans="1:10" s="524" customFormat="1" ht="25.05" customHeight="1">
      <c r="A3" s="1222" t="str">
        <f>'Forside 1'!A6:I6</f>
        <v>Gældende fra 1. november 2025</v>
      </c>
      <c r="B3" s="1223"/>
      <c r="C3" s="1223"/>
      <c r="D3" s="1223"/>
      <c r="E3" s="1223"/>
      <c r="F3" s="1223"/>
      <c r="G3" s="1223"/>
      <c r="H3" s="1223"/>
      <c r="I3" s="1223"/>
      <c r="J3" s="1224"/>
    </row>
    <row r="4" spans="1:10" s="524" customFormat="1" ht="25.05" customHeight="1">
      <c r="A4" s="1885" t="s">
        <v>434</v>
      </c>
      <c r="B4" s="1886"/>
      <c r="C4" s="1886"/>
      <c r="D4" s="1886"/>
      <c r="E4" s="1886"/>
      <c r="F4" s="1886"/>
      <c r="G4" s="1886"/>
      <c r="H4" s="1886"/>
      <c r="I4" s="1886"/>
      <c r="J4" s="1887"/>
    </row>
    <row r="5" spans="1:10" s="2" customFormat="1" ht="19.05" customHeight="1" thickBot="1">
      <c r="A5" s="1882" t="s">
        <v>435</v>
      </c>
      <c r="B5" s="1883"/>
      <c r="C5" s="1883"/>
      <c r="D5" s="1883"/>
      <c r="E5" s="1883"/>
      <c r="F5" s="1883"/>
      <c r="G5" s="1883"/>
      <c r="H5" s="1883"/>
      <c r="I5" s="1883"/>
      <c r="J5" s="1884"/>
    </row>
    <row r="6" spans="1:10" ht="21.6" thickBot="1">
      <c r="A6" s="1775"/>
      <c r="B6" s="1775"/>
      <c r="C6" s="1775"/>
      <c r="D6" s="1775"/>
      <c r="E6" s="1775"/>
      <c r="F6" s="1775"/>
      <c r="G6" s="1775"/>
      <c r="H6" s="1775"/>
    </row>
    <row r="7" spans="1:10" ht="17.399999999999999">
      <c r="A7" s="1765" t="s">
        <v>395</v>
      </c>
      <c r="B7" s="1766"/>
      <c r="C7" s="1766"/>
      <c r="D7" s="1766"/>
      <c r="E7" s="1766"/>
      <c r="F7" s="1766"/>
      <c r="G7" s="1766"/>
      <c r="H7" s="1766"/>
      <c r="I7" s="1766"/>
      <c r="J7" s="1767"/>
    </row>
    <row r="8" spans="1:10" ht="15.6" thickBot="1">
      <c r="A8" s="1859" t="s">
        <v>396</v>
      </c>
      <c r="B8" s="1860"/>
      <c r="C8" s="1860"/>
      <c r="D8" s="1860"/>
      <c r="E8" s="1860"/>
      <c r="F8" s="1860"/>
      <c r="G8" s="1860"/>
      <c r="H8" s="1860"/>
      <c r="I8" s="1860"/>
      <c r="J8" s="1861"/>
    </row>
    <row r="9" spans="1:10" ht="16.05" customHeight="1" thickBot="1">
      <c r="A9" s="1862" t="s">
        <v>407</v>
      </c>
      <c r="B9" s="1863"/>
      <c r="C9" s="1863"/>
      <c r="D9" s="1863"/>
      <c r="E9" s="1863"/>
      <c r="F9" s="1864"/>
      <c r="G9" s="1862" t="s">
        <v>165</v>
      </c>
      <c r="H9" s="1863"/>
      <c r="I9" s="1863"/>
      <c r="J9" s="1864"/>
    </row>
    <row r="10" spans="1:10" ht="30" customHeight="1" thickBot="1">
      <c r="A10" s="730" t="s">
        <v>57</v>
      </c>
      <c r="B10" s="731" t="s">
        <v>72</v>
      </c>
      <c r="C10" s="732" t="s">
        <v>73</v>
      </c>
      <c r="D10" s="732" t="s">
        <v>74</v>
      </c>
      <c r="E10" s="732" t="s">
        <v>75</v>
      </c>
      <c r="F10" s="733" t="s">
        <v>76</v>
      </c>
      <c r="G10" s="730" t="s">
        <v>182</v>
      </c>
      <c r="H10" s="750" t="s">
        <v>183</v>
      </c>
      <c r="I10" s="745" t="s">
        <v>184</v>
      </c>
      <c r="J10" s="843">
        <v>0.17299999999999999</v>
      </c>
    </row>
    <row r="11" spans="1:10" ht="16.05" customHeight="1">
      <c r="A11" s="347">
        <v>9</v>
      </c>
      <c r="B11" s="727">
        <f>'Statens skalatrin'!D31</f>
        <v>21841.919999999998</v>
      </c>
      <c r="C11" s="728">
        <f>'Statens skalatrin'!F31</f>
        <v>22277.67</v>
      </c>
      <c r="D11" s="728">
        <f>'Statens skalatrin'!H31</f>
        <v>22579.58</v>
      </c>
      <c r="E11" s="728">
        <f>'Statens skalatrin'!J31</f>
        <v>23015.33</v>
      </c>
      <c r="F11" s="729">
        <f>'Statens skalatrin'!L31</f>
        <v>23317.25</v>
      </c>
      <c r="G11" s="841">
        <f>'Statens skalatrin'!O31</f>
        <v>20335.28</v>
      </c>
      <c r="H11" s="844">
        <f>J11*1/3</f>
        <v>1172.6666666666667</v>
      </c>
      <c r="I11" s="845">
        <f>J11*2/3</f>
        <v>2345.3333333333335</v>
      </c>
      <c r="J11" s="846">
        <f>ROUND(G11*$J$10,2)</f>
        <v>3518</v>
      </c>
    </row>
    <row r="12" spans="1:10" ht="16.05" customHeight="1">
      <c r="A12" s="726">
        <v>10</v>
      </c>
      <c r="B12" s="724">
        <f>'Statens skalatrin'!D34</f>
        <v>22208.75</v>
      </c>
      <c r="C12" s="710">
        <f>'Statens skalatrin'!F34</f>
        <v>22655.58</v>
      </c>
      <c r="D12" s="710">
        <f>'Statens skalatrin'!H34</f>
        <v>22964.83</v>
      </c>
      <c r="E12" s="710">
        <f>'Statens skalatrin'!J34</f>
        <v>23411.67</v>
      </c>
      <c r="F12" s="715">
        <f>'Statens skalatrin'!L34</f>
        <v>23721.08</v>
      </c>
      <c r="G12" s="689">
        <f>'Statens skalatrin'!O34</f>
        <v>20679.23</v>
      </c>
      <c r="H12" s="847">
        <f t="shared" ref="H12:H16" si="0">J12*1/3</f>
        <v>1192.5033333333333</v>
      </c>
      <c r="I12" s="709">
        <f t="shared" ref="I12:I16" si="1">J12*2/3</f>
        <v>2385.0066666666667</v>
      </c>
      <c r="J12" s="734">
        <f t="shared" ref="J12:J16" si="2">ROUND(G12*$J$10,2)</f>
        <v>3577.51</v>
      </c>
    </row>
    <row r="13" spans="1:10" ht="16.05" customHeight="1">
      <c r="A13" s="726">
        <v>11</v>
      </c>
      <c r="B13" s="724">
        <f>'Statens skalatrin'!D37</f>
        <v>22498.25</v>
      </c>
      <c r="C13" s="710">
        <f>'Statens skalatrin'!F37</f>
        <v>22956.17</v>
      </c>
      <c r="D13" s="710">
        <f>'Statens skalatrin'!H37</f>
        <v>23273.17</v>
      </c>
      <c r="E13" s="710">
        <f>'Statens skalatrin'!J37</f>
        <v>23731.08</v>
      </c>
      <c r="F13" s="715">
        <f>'Statens skalatrin'!L37</f>
        <v>24048.080000000002</v>
      </c>
      <c r="G13" s="689">
        <f>'Statens skalatrin'!O37</f>
        <v>21032.57</v>
      </c>
      <c r="H13" s="847">
        <f t="shared" si="0"/>
        <v>1212.8766666666668</v>
      </c>
      <c r="I13" s="709">
        <f t="shared" si="1"/>
        <v>2425.7533333333336</v>
      </c>
      <c r="J13" s="734">
        <f t="shared" si="2"/>
        <v>3638.63</v>
      </c>
    </row>
    <row r="14" spans="1:10" ht="16.05" customHeight="1">
      <c r="A14" s="726">
        <v>12</v>
      </c>
      <c r="B14" s="724">
        <f>'Statens skalatrin'!D40</f>
        <v>22885.58</v>
      </c>
      <c r="C14" s="710">
        <f>'Statens skalatrin'!F40</f>
        <v>23355</v>
      </c>
      <c r="D14" s="710">
        <f>'Statens skalatrin'!H40</f>
        <v>23680.17</v>
      </c>
      <c r="E14" s="710">
        <f>'Statens skalatrin'!J40</f>
        <v>24149.42</v>
      </c>
      <c r="F14" s="715">
        <f>'Statens skalatrin'!L40</f>
        <v>24474.42</v>
      </c>
      <c r="G14" s="689">
        <f>'Statens skalatrin'!O40</f>
        <v>21395.67</v>
      </c>
      <c r="H14" s="847">
        <f t="shared" si="0"/>
        <v>1233.8166666666666</v>
      </c>
      <c r="I14" s="709">
        <f t="shared" si="1"/>
        <v>2467.6333333333332</v>
      </c>
      <c r="J14" s="734">
        <f t="shared" si="2"/>
        <v>3701.45</v>
      </c>
    </row>
    <row r="15" spans="1:10" ht="16.05" customHeight="1">
      <c r="A15" s="726">
        <v>13</v>
      </c>
      <c r="B15" s="724">
        <f>'Statens skalatrin'!D43</f>
        <v>23283.83</v>
      </c>
      <c r="C15" s="710">
        <f>'Statens skalatrin'!F43</f>
        <v>23765</v>
      </c>
      <c r="D15" s="710">
        <f>'Statens skalatrin'!H43</f>
        <v>24098.17</v>
      </c>
      <c r="E15" s="710">
        <f>'Statens skalatrin'!J43</f>
        <v>24579.58</v>
      </c>
      <c r="F15" s="715">
        <f>'Statens skalatrin'!L43</f>
        <v>24912.58</v>
      </c>
      <c r="G15" s="689">
        <f>'Statens skalatrin'!O43</f>
        <v>21768.74</v>
      </c>
      <c r="H15" s="847">
        <f t="shared" si="0"/>
        <v>1255.33</v>
      </c>
      <c r="I15" s="709">
        <f t="shared" si="1"/>
        <v>2510.66</v>
      </c>
      <c r="J15" s="734">
        <f t="shared" si="2"/>
        <v>3765.99</v>
      </c>
    </row>
    <row r="16" spans="1:10" ht="16.05" customHeight="1" thickBot="1">
      <c r="A16" s="289">
        <v>14</v>
      </c>
      <c r="B16" s="725">
        <f>'Statens skalatrin'!D46</f>
        <v>23692.92</v>
      </c>
      <c r="C16" s="718">
        <f>'Statens skalatrin'!F46</f>
        <v>24186.33</v>
      </c>
      <c r="D16" s="718">
        <f>'Statens skalatrin'!H46</f>
        <v>24527.83</v>
      </c>
      <c r="E16" s="718">
        <f>'Statens skalatrin'!J46</f>
        <v>25021.17</v>
      </c>
      <c r="F16" s="719">
        <f>'Statens skalatrin'!L46</f>
        <v>25362.67</v>
      </c>
      <c r="G16" s="842">
        <f>'Statens skalatrin'!O46</f>
        <v>22152.13</v>
      </c>
      <c r="H16" s="848">
        <f t="shared" si="0"/>
        <v>1277.44</v>
      </c>
      <c r="I16" s="720">
        <f t="shared" si="1"/>
        <v>2554.88</v>
      </c>
      <c r="J16" s="849">
        <f t="shared" si="2"/>
        <v>3832.32</v>
      </c>
    </row>
    <row r="17" spans="1:11" ht="15" customHeight="1" thickBot="1">
      <c r="A17" s="796"/>
      <c r="B17" s="773"/>
      <c r="C17" s="721"/>
      <c r="D17" s="721"/>
      <c r="E17" s="721"/>
      <c r="F17" s="721"/>
      <c r="G17" s="737"/>
      <c r="H17" s="722"/>
      <c r="I17" s="722"/>
      <c r="J17" s="722"/>
      <c r="K17" s="722"/>
    </row>
    <row r="18" spans="1:11" ht="19.95" customHeight="1">
      <c r="A18" s="1765" t="s">
        <v>397</v>
      </c>
      <c r="B18" s="1766"/>
      <c r="C18" s="1766"/>
      <c r="D18" s="1766"/>
      <c r="E18" s="1766"/>
      <c r="F18" s="1766"/>
      <c r="G18" s="1766"/>
      <c r="H18" s="1766"/>
      <c r="I18" s="1766"/>
      <c r="J18" s="1767"/>
    </row>
    <row r="19" spans="1:11" ht="19.95" customHeight="1" thickBot="1">
      <c r="A19" s="1859" t="s">
        <v>396</v>
      </c>
      <c r="B19" s="1860"/>
      <c r="C19" s="1860"/>
      <c r="D19" s="1860"/>
      <c r="E19" s="1860"/>
      <c r="F19" s="1860"/>
      <c r="G19" s="1860"/>
      <c r="H19" s="1860"/>
      <c r="I19" s="1860"/>
      <c r="J19" s="1861"/>
    </row>
    <row r="20" spans="1:11" ht="19.95" customHeight="1" thickBot="1">
      <c r="A20" s="1862" t="s">
        <v>407</v>
      </c>
      <c r="B20" s="1863"/>
      <c r="C20" s="1863"/>
      <c r="D20" s="1863"/>
      <c r="E20" s="1863"/>
      <c r="F20" s="1864"/>
      <c r="G20" s="1862" t="s">
        <v>165</v>
      </c>
      <c r="H20" s="1865"/>
      <c r="I20" s="1865"/>
      <c r="J20" s="1866"/>
    </row>
    <row r="21" spans="1:11" ht="30" customHeight="1" thickBot="1">
      <c r="A21" s="730" t="s">
        <v>57</v>
      </c>
      <c r="B21" s="750" t="s">
        <v>72</v>
      </c>
      <c r="C21" s="745" t="s">
        <v>73</v>
      </c>
      <c r="D21" s="745" t="s">
        <v>74</v>
      </c>
      <c r="E21" s="745" t="s">
        <v>75</v>
      </c>
      <c r="F21" s="746" t="s">
        <v>76</v>
      </c>
      <c r="G21" s="430" t="s">
        <v>182</v>
      </c>
      <c r="H21" s="735" t="s">
        <v>183</v>
      </c>
      <c r="I21" s="732" t="s">
        <v>184</v>
      </c>
      <c r="J21" s="736">
        <f>J10</f>
        <v>0.17299999999999999</v>
      </c>
    </row>
    <row r="22" spans="1:11" ht="16.05" customHeight="1">
      <c r="A22" s="738">
        <v>16</v>
      </c>
      <c r="B22" s="747">
        <f>'Statens skalatrin'!D52</f>
        <v>24435.33</v>
      </c>
      <c r="C22" s="748">
        <f>'Statens skalatrin'!F52</f>
        <v>24953.919999999998</v>
      </c>
      <c r="D22" s="748">
        <f>'Statens skalatrin'!H52</f>
        <v>25313</v>
      </c>
      <c r="E22" s="748">
        <f>'Statens skalatrin'!J52</f>
        <v>25831.5</v>
      </c>
      <c r="F22" s="749">
        <f>'Statens skalatrin'!L52</f>
        <v>26190.67</v>
      </c>
      <c r="G22" s="742">
        <f>'Statens skalatrin'!O52</f>
        <v>22950.66</v>
      </c>
      <c r="H22" s="844">
        <f>J22*1/3</f>
        <v>1323.4866666666667</v>
      </c>
      <c r="I22" s="845">
        <f>J22*2/3</f>
        <v>2646.9733333333334</v>
      </c>
      <c r="J22" s="846">
        <f>ROUND(G22*$J$10,2)</f>
        <v>3970.46</v>
      </c>
    </row>
    <row r="23" spans="1:11" ht="16.05" customHeight="1">
      <c r="A23" s="713">
        <v>18</v>
      </c>
      <c r="B23" s="714">
        <f>'Statens skalatrin'!D58</f>
        <v>25335.08</v>
      </c>
      <c r="C23" s="710">
        <f>'Statens skalatrin'!F58</f>
        <v>25880.42</v>
      </c>
      <c r="D23" s="710">
        <f>'Statens skalatrin'!H58</f>
        <v>26257.919999999998</v>
      </c>
      <c r="E23" s="710">
        <f>'Statens skalatrin'!J58</f>
        <v>26803.08</v>
      </c>
      <c r="F23" s="715">
        <f>'Statens skalatrin'!L58</f>
        <v>27180.5</v>
      </c>
      <c r="G23" s="743">
        <f>'Statens skalatrin'!O58</f>
        <v>23793.72</v>
      </c>
      <c r="H23" s="847">
        <f t="shared" ref="H23:H27" si="3">J23*1/3</f>
        <v>1372.1033333333335</v>
      </c>
      <c r="I23" s="709">
        <f t="shared" ref="I23:I27" si="4">J23*2/3</f>
        <v>2744.2066666666669</v>
      </c>
      <c r="J23" s="734">
        <f t="shared" ref="J23:J27" si="5">ROUND(G23*$J$10,2)</f>
        <v>4116.3100000000004</v>
      </c>
    </row>
    <row r="24" spans="1:11" s="525" customFormat="1" ht="16.05" customHeight="1">
      <c r="A24" s="713">
        <v>20</v>
      </c>
      <c r="B24" s="714">
        <f>'Statens skalatrin'!D64</f>
        <v>26029</v>
      </c>
      <c r="C24" s="710">
        <f>'Statens skalatrin'!F64</f>
        <v>26602.25</v>
      </c>
      <c r="D24" s="710">
        <f>'Statens skalatrin'!H64</f>
        <v>26999.25</v>
      </c>
      <c r="E24" s="710">
        <f>'Statens skalatrin'!J64</f>
        <v>27572.58</v>
      </c>
      <c r="F24" s="715">
        <f>'Statens skalatrin'!L64</f>
        <v>27969.42</v>
      </c>
      <c r="G24" s="743">
        <f>'Statens skalatrin'!O64</f>
        <v>24683.73</v>
      </c>
      <c r="H24" s="847">
        <f t="shared" si="3"/>
        <v>1423.43</v>
      </c>
      <c r="I24" s="709">
        <f t="shared" si="4"/>
        <v>2846.86</v>
      </c>
      <c r="J24" s="734">
        <f t="shared" si="5"/>
        <v>4270.29</v>
      </c>
    </row>
    <row r="25" spans="1:11" s="525" customFormat="1" ht="16.05" customHeight="1">
      <c r="A25" s="713">
        <v>22</v>
      </c>
      <c r="B25" s="714">
        <f>'Statens skalatrin'!D70</f>
        <v>26859</v>
      </c>
      <c r="C25" s="710">
        <f>'Statens skalatrin'!F70</f>
        <v>27447.08</v>
      </c>
      <c r="D25" s="710">
        <f>'Statens skalatrin'!H70</f>
        <v>27854.17</v>
      </c>
      <c r="E25" s="710">
        <f>'Statens skalatrin'!J70</f>
        <v>28442.17</v>
      </c>
      <c r="F25" s="715">
        <f>'Statens skalatrin'!L70</f>
        <v>28849.33</v>
      </c>
      <c r="G25" s="743">
        <f>'Statens skalatrin'!O70</f>
        <v>25610.55</v>
      </c>
      <c r="H25" s="847">
        <f t="shared" si="3"/>
        <v>1476.8766666666668</v>
      </c>
      <c r="I25" s="709">
        <f t="shared" si="4"/>
        <v>2953.7533333333336</v>
      </c>
      <c r="J25" s="734">
        <f t="shared" si="5"/>
        <v>4430.63</v>
      </c>
    </row>
    <row r="26" spans="1:11" ht="16.05" customHeight="1">
      <c r="A26" s="713">
        <v>24</v>
      </c>
      <c r="B26" s="714">
        <f>'Statens skalatrin'!D76</f>
        <v>27727.67</v>
      </c>
      <c r="C26" s="710">
        <f>'Statens skalatrin'!F76</f>
        <v>28283.33</v>
      </c>
      <c r="D26" s="710">
        <f>'Statens skalatrin'!H76</f>
        <v>28668.080000000002</v>
      </c>
      <c r="E26" s="710">
        <f>'Statens skalatrin'!J76</f>
        <v>29223.83</v>
      </c>
      <c r="F26" s="715">
        <f>'Statens skalatrin'!L76</f>
        <v>29608.58</v>
      </c>
      <c r="G26" s="743">
        <f>'Statens skalatrin'!O76</f>
        <v>26547.88</v>
      </c>
      <c r="H26" s="847">
        <f t="shared" si="3"/>
        <v>1530.9266666666665</v>
      </c>
      <c r="I26" s="709">
        <f t="shared" si="4"/>
        <v>3061.853333333333</v>
      </c>
      <c r="J26" s="734">
        <f t="shared" si="5"/>
        <v>4592.78</v>
      </c>
    </row>
    <row r="27" spans="1:11" ht="16.05" customHeight="1" thickBot="1">
      <c r="A27" s="723">
        <v>26</v>
      </c>
      <c r="B27" s="717">
        <f>'Statens skalatrin'!D82</f>
        <v>28639.42</v>
      </c>
      <c r="C27" s="718">
        <f>'Statens skalatrin'!F82</f>
        <v>29159.08</v>
      </c>
      <c r="D27" s="718">
        <f>'Statens skalatrin'!H82</f>
        <v>29518.92</v>
      </c>
      <c r="E27" s="718">
        <f>'Statens skalatrin'!J82</f>
        <v>30038.67</v>
      </c>
      <c r="F27" s="719">
        <f>'Statens skalatrin'!L82</f>
        <v>30398.42</v>
      </c>
      <c r="G27" s="744">
        <f>'Statens skalatrin'!O82</f>
        <v>27535.8</v>
      </c>
      <c r="H27" s="848">
        <f t="shared" si="3"/>
        <v>1587.8966666666665</v>
      </c>
      <c r="I27" s="720">
        <f t="shared" si="4"/>
        <v>3175.7933333333331</v>
      </c>
      <c r="J27" s="849">
        <f t="shared" si="5"/>
        <v>4763.6899999999996</v>
      </c>
    </row>
    <row r="28" spans="1:11" ht="19.95" customHeight="1" thickBot="1">
      <c r="A28" s="797"/>
      <c r="B28" s="774"/>
      <c r="C28" s="721"/>
      <c r="D28" s="721"/>
      <c r="E28" s="721"/>
      <c r="F28" s="721"/>
      <c r="G28" s="721"/>
      <c r="H28" s="721"/>
      <c r="I28" s="722"/>
      <c r="J28" s="722"/>
      <c r="K28" s="722"/>
    </row>
    <row r="29" spans="1:11" ht="19.95" customHeight="1">
      <c r="A29" s="1765" t="s">
        <v>398</v>
      </c>
      <c r="B29" s="1766"/>
      <c r="C29" s="1766"/>
      <c r="D29" s="1766"/>
      <c r="E29" s="1766"/>
      <c r="F29" s="1766"/>
      <c r="G29" s="1766"/>
      <c r="H29" s="1766"/>
      <c r="I29" s="1766"/>
      <c r="J29" s="1767"/>
    </row>
    <row r="30" spans="1:11" ht="19.95" customHeight="1" thickBot="1">
      <c r="A30" s="1859" t="s">
        <v>396</v>
      </c>
      <c r="B30" s="1860"/>
      <c r="C30" s="1860"/>
      <c r="D30" s="1860"/>
      <c r="E30" s="1860"/>
      <c r="F30" s="1860"/>
      <c r="G30" s="1860"/>
      <c r="H30" s="1860"/>
      <c r="I30" s="1860"/>
      <c r="J30" s="1861"/>
    </row>
    <row r="31" spans="1:11" s="248" customFormat="1" ht="19.95" customHeight="1" thickBot="1">
      <c r="A31" s="1862" t="s">
        <v>407</v>
      </c>
      <c r="B31" s="1863"/>
      <c r="C31" s="1863"/>
      <c r="D31" s="1863"/>
      <c r="E31" s="1863"/>
      <c r="F31" s="1864"/>
      <c r="G31" s="1862" t="s">
        <v>165</v>
      </c>
      <c r="H31" s="1863"/>
      <c r="I31" s="1863"/>
      <c r="J31" s="1864"/>
    </row>
    <row r="32" spans="1:11" ht="30" customHeight="1" thickBot="1">
      <c r="A32" s="430" t="s">
        <v>57</v>
      </c>
      <c r="B32" s="735" t="s">
        <v>72</v>
      </c>
      <c r="C32" s="732" t="s">
        <v>73</v>
      </c>
      <c r="D32" s="732" t="s">
        <v>74</v>
      </c>
      <c r="E32" s="732" t="s">
        <v>75</v>
      </c>
      <c r="F32" s="740" t="s">
        <v>76</v>
      </c>
      <c r="G32" s="730" t="s">
        <v>182</v>
      </c>
      <c r="H32" s="753" t="s">
        <v>183</v>
      </c>
      <c r="I32" s="730" t="s">
        <v>184</v>
      </c>
      <c r="J32" s="754">
        <f>J10</f>
        <v>0.17299999999999999</v>
      </c>
    </row>
    <row r="33" spans="1:11" ht="16.05" customHeight="1">
      <c r="A33" s="726">
        <v>27</v>
      </c>
      <c r="B33" s="727">
        <f>'Statens skalatrin'!D85</f>
        <v>29110.5</v>
      </c>
      <c r="C33" s="728">
        <f>'Statens skalatrin'!F85</f>
        <v>29610.080000000002</v>
      </c>
      <c r="D33" s="728">
        <f>'Statens skalatrin'!H85</f>
        <v>29956.33</v>
      </c>
      <c r="E33" s="728">
        <f>'Statens skalatrin'!J85</f>
        <v>30456.080000000002</v>
      </c>
      <c r="F33" s="741">
        <f>'Statens skalatrin'!L85</f>
        <v>30802.17</v>
      </c>
      <c r="G33" s="752">
        <f>'Statens skalatrin'!O85</f>
        <v>28049.11</v>
      </c>
      <c r="H33" s="844">
        <f>J33*1/3</f>
        <v>1617.5</v>
      </c>
      <c r="I33" s="845">
        <f>J33*2/3</f>
        <v>3235</v>
      </c>
      <c r="J33" s="846">
        <f>ROUND(G33*$J$10,2)</f>
        <v>4852.5</v>
      </c>
    </row>
    <row r="34" spans="1:11" ht="16.05" customHeight="1">
      <c r="A34" s="726">
        <v>29</v>
      </c>
      <c r="B34" s="724">
        <f>'Statens skalatrin'!D91</f>
        <v>30084.58</v>
      </c>
      <c r="C34" s="710">
        <f>'Statens skalatrin'!F91</f>
        <v>30540.5</v>
      </c>
      <c r="D34" s="710">
        <f>'Statens skalatrin'!H91</f>
        <v>30856.25</v>
      </c>
      <c r="E34" s="710">
        <f>'Statens skalatrin'!J91</f>
        <v>31312.17</v>
      </c>
      <c r="F34" s="751">
        <f>'Statens skalatrin'!L91</f>
        <v>31627.75</v>
      </c>
      <c r="G34" s="578">
        <f>'Statens skalatrin'!O91</f>
        <v>29116.61</v>
      </c>
      <c r="H34" s="847">
        <f t="shared" ref="H34:H36" si="6">J34*1/3</f>
        <v>1679.0566666666666</v>
      </c>
      <c r="I34" s="709">
        <f t="shared" ref="I34:I36" si="7">J34*2/3</f>
        <v>3358.1133333333332</v>
      </c>
      <c r="J34" s="734">
        <f t="shared" ref="J34:J36" si="8">ROUND(G34*$J$10,2)</f>
        <v>5037.17</v>
      </c>
    </row>
    <row r="35" spans="1:11" ht="16.05" customHeight="1">
      <c r="A35" s="726">
        <v>31</v>
      </c>
      <c r="B35" s="724">
        <f>'Statens skalatrin'!D97</f>
        <v>31102.75</v>
      </c>
      <c r="C35" s="710">
        <f>'Statens skalatrin'!F97</f>
        <v>31508.75</v>
      </c>
      <c r="D35" s="710">
        <f>'Statens skalatrin'!H97</f>
        <v>31790.080000000002</v>
      </c>
      <c r="E35" s="710">
        <f>'Statens skalatrin'!J97</f>
        <v>32196.080000000002</v>
      </c>
      <c r="F35" s="751">
        <f>'Statens skalatrin'!L97</f>
        <v>32477.25</v>
      </c>
      <c r="G35" s="578">
        <f>'Statens skalatrin'!O97</f>
        <v>30240.57</v>
      </c>
      <c r="H35" s="847">
        <f t="shared" si="6"/>
        <v>1743.8733333333332</v>
      </c>
      <c r="I35" s="709">
        <f t="shared" si="7"/>
        <v>3487.7466666666664</v>
      </c>
      <c r="J35" s="734">
        <f t="shared" si="8"/>
        <v>5231.62</v>
      </c>
    </row>
    <row r="36" spans="1:11" s="525" customFormat="1" ht="16.05" customHeight="1" thickBot="1">
      <c r="A36" s="289">
        <v>33</v>
      </c>
      <c r="B36" s="755">
        <f>'Statens skalatrin'!D103</f>
        <v>32166.67</v>
      </c>
      <c r="C36" s="711">
        <f>'Statens skalatrin'!F103</f>
        <v>32516.33</v>
      </c>
      <c r="D36" s="711">
        <f>'Statens skalatrin'!H103</f>
        <v>32758.67</v>
      </c>
      <c r="E36" s="711">
        <f>'Statens skalatrin'!J103</f>
        <v>33108.42</v>
      </c>
      <c r="F36" s="756">
        <f>'Statens skalatrin'!L103</f>
        <v>33350.58</v>
      </c>
      <c r="G36" s="579">
        <f>'Statens skalatrin'!O103</f>
        <v>31424.03</v>
      </c>
      <c r="H36" s="850">
        <f t="shared" si="6"/>
        <v>1812.12</v>
      </c>
      <c r="I36" s="712">
        <f t="shared" si="7"/>
        <v>3624.24</v>
      </c>
      <c r="J36" s="849">
        <f t="shared" si="8"/>
        <v>5436.36</v>
      </c>
    </row>
    <row r="37" spans="1:11" s="757" customFormat="1" ht="19.95" customHeight="1" thickBot="1">
      <c r="A37" s="797"/>
      <c r="B37" s="774"/>
      <c r="C37" s="721"/>
      <c r="D37" s="721"/>
      <c r="E37" s="721"/>
      <c r="F37" s="721"/>
      <c r="G37" s="721"/>
      <c r="H37" s="721"/>
      <c r="I37" s="722"/>
      <c r="J37" s="722"/>
      <c r="K37" s="722"/>
    </row>
    <row r="38" spans="1:11" s="525" customFormat="1" ht="19.95" customHeight="1">
      <c r="A38" s="1765" t="s">
        <v>399</v>
      </c>
      <c r="B38" s="1766"/>
      <c r="C38" s="1766"/>
      <c r="D38" s="1766"/>
      <c r="E38" s="1766"/>
      <c r="F38" s="1766"/>
      <c r="G38" s="1766"/>
      <c r="H38" s="1766"/>
      <c r="I38" s="1766"/>
      <c r="J38" s="1767"/>
    </row>
    <row r="39" spans="1:11" ht="19.95" customHeight="1" thickBot="1">
      <c r="A39" s="1859" t="s">
        <v>396</v>
      </c>
      <c r="B39" s="1860"/>
      <c r="C39" s="1860"/>
      <c r="D39" s="1860"/>
      <c r="E39" s="1860"/>
      <c r="F39" s="1860"/>
      <c r="G39" s="1860"/>
      <c r="H39" s="1860"/>
      <c r="I39" s="1860"/>
      <c r="J39" s="1861"/>
    </row>
    <row r="40" spans="1:11" ht="19.95" customHeight="1" thickBot="1">
      <c r="A40" s="1862" t="s">
        <v>407</v>
      </c>
      <c r="B40" s="1863"/>
      <c r="C40" s="1863"/>
      <c r="D40" s="1863"/>
      <c r="E40" s="1863"/>
      <c r="F40" s="1864"/>
      <c r="G40" s="1862" t="s">
        <v>165</v>
      </c>
      <c r="H40" s="1863"/>
      <c r="I40" s="1863"/>
      <c r="J40" s="1864"/>
    </row>
    <row r="41" spans="1:11" ht="30" customHeight="1" thickBot="1">
      <c r="A41" s="430" t="s">
        <v>57</v>
      </c>
      <c r="B41" s="735" t="s">
        <v>72</v>
      </c>
      <c r="C41" s="732" t="s">
        <v>73</v>
      </c>
      <c r="D41" s="732" t="s">
        <v>74</v>
      </c>
      <c r="E41" s="732" t="s">
        <v>75</v>
      </c>
      <c r="F41" s="733" t="s">
        <v>76</v>
      </c>
      <c r="G41" s="753" t="s">
        <v>182</v>
      </c>
      <c r="H41" s="753" t="s">
        <v>183</v>
      </c>
      <c r="I41" s="730" t="s">
        <v>184</v>
      </c>
      <c r="J41" s="754">
        <f>J10</f>
        <v>0.17299999999999999</v>
      </c>
    </row>
    <row r="42" spans="1:11" s="232" customFormat="1" ht="16.05" customHeight="1">
      <c r="A42" s="726">
        <v>34</v>
      </c>
      <c r="B42" s="739">
        <f>'Statens skalatrin'!D106</f>
        <v>32716.5</v>
      </c>
      <c r="C42" s="727">
        <f>'Statens skalatrin'!F106</f>
        <v>33035.5</v>
      </c>
      <c r="D42" s="727">
        <f>'Statens skalatrin'!H106</f>
        <v>33256.42</v>
      </c>
      <c r="E42" s="727">
        <f>'Statens skalatrin'!J106</f>
        <v>33575.25</v>
      </c>
      <c r="F42" s="760">
        <f>'Statens skalatrin'!L106</f>
        <v>33796.17</v>
      </c>
      <c r="G42" s="764">
        <f>'Statens skalatrin'!O106</f>
        <v>32039.11</v>
      </c>
      <c r="H42" s="844">
        <f>J42*1/3</f>
        <v>1847.5900000000001</v>
      </c>
      <c r="I42" s="845">
        <f>J42*2/3</f>
        <v>3695.1800000000003</v>
      </c>
      <c r="J42" s="846">
        <f>ROUND(G42*$J$10,2)</f>
        <v>5542.77</v>
      </c>
    </row>
    <row r="43" spans="1:11" s="232" customFormat="1" ht="16.05" customHeight="1">
      <c r="A43" s="726">
        <v>36</v>
      </c>
      <c r="B43" s="714">
        <f>'Statens skalatrin'!D112</f>
        <v>33852.75</v>
      </c>
      <c r="C43" s="724">
        <f>'Statens skalatrin'!F112</f>
        <v>34104.67</v>
      </c>
      <c r="D43" s="724">
        <f>'Statens skalatrin'!H112</f>
        <v>34279.17</v>
      </c>
      <c r="E43" s="724">
        <f>'Statens skalatrin'!J112</f>
        <v>34531.17</v>
      </c>
      <c r="F43" s="743">
        <f>'Statens skalatrin'!L112</f>
        <v>34705.5</v>
      </c>
      <c r="G43" s="578">
        <f>'Statens skalatrin'!O112</f>
        <v>33317.800000000003</v>
      </c>
      <c r="H43" s="847">
        <f t="shared" ref="H43:H46" si="9">J43*1/3</f>
        <v>1921.3266666666666</v>
      </c>
      <c r="I43" s="709">
        <f t="shared" ref="I43:I46" si="10">J43*2/3</f>
        <v>3842.6533333333332</v>
      </c>
      <c r="J43" s="734">
        <f t="shared" ref="J43:J46" si="11">ROUND(G43*$J$10,2)</f>
        <v>5763.98</v>
      </c>
    </row>
    <row r="44" spans="1:11" s="232" customFormat="1" ht="16.05" customHeight="1">
      <c r="A44" s="726">
        <v>40</v>
      </c>
      <c r="B44" s="714">
        <f>'Statens skalatrin'!D124</f>
        <v>36325.25</v>
      </c>
      <c r="C44" s="724">
        <f>'Statens skalatrin'!F124</f>
        <v>36420.17</v>
      </c>
      <c r="D44" s="724">
        <f>'Statens skalatrin'!H124</f>
        <v>36485.919999999998</v>
      </c>
      <c r="E44" s="724">
        <f>'Statens skalatrin'!J124</f>
        <v>36580.83</v>
      </c>
      <c r="F44" s="743">
        <f>'Statens skalatrin'!L124</f>
        <v>36646.67</v>
      </c>
      <c r="G44" s="578">
        <f>'Statens skalatrin'!O124</f>
        <v>36123.42</v>
      </c>
      <c r="H44" s="847">
        <f t="shared" si="9"/>
        <v>2083.1166666666668</v>
      </c>
      <c r="I44" s="709">
        <f t="shared" si="10"/>
        <v>4166.2333333333336</v>
      </c>
      <c r="J44" s="734">
        <f t="shared" si="11"/>
        <v>6249.35</v>
      </c>
    </row>
    <row r="45" spans="1:11" s="232" customFormat="1" ht="16.05" customHeight="1">
      <c r="A45" s="758">
        <v>42</v>
      </c>
      <c r="B45" s="761">
        <f>'Statens skalatrin'!D130</f>
        <v>37646.58</v>
      </c>
      <c r="C45" s="759">
        <f>'Statens skalatrin'!F130</f>
        <v>37646.58</v>
      </c>
      <c r="D45" s="759">
        <f>'Statens skalatrin'!H130</f>
        <v>37646.58</v>
      </c>
      <c r="E45" s="759">
        <f>'Statens skalatrin'!J130</f>
        <v>37646.58</v>
      </c>
      <c r="F45" s="762">
        <f>'Statens skalatrin'!L130</f>
        <v>37646.58</v>
      </c>
      <c r="G45" s="708">
        <f>'Statens skalatrin'!O130</f>
        <v>37646.49</v>
      </c>
      <c r="H45" s="847">
        <f t="shared" si="9"/>
        <v>2170.9466666666667</v>
      </c>
      <c r="I45" s="709">
        <f t="shared" si="10"/>
        <v>4341.8933333333334</v>
      </c>
      <c r="J45" s="734">
        <f t="shared" si="11"/>
        <v>6512.84</v>
      </c>
    </row>
    <row r="46" spans="1:11" ht="16.05" customHeight="1" thickBot="1">
      <c r="A46" s="289">
        <v>43</v>
      </c>
      <c r="B46" s="716">
        <f>'Statens skalatrin'!D133</f>
        <v>38482.33</v>
      </c>
      <c r="C46" s="755">
        <f>'Statens skalatrin'!F133</f>
        <v>38482.33</v>
      </c>
      <c r="D46" s="755">
        <f>'Statens skalatrin'!H133</f>
        <v>38482.33</v>
      </c>
      <c r="E46" s="755">
        <f>'Statens skalatrin'!J133</f>
        <v>38482.33</v>
      </c>
      <c r="F46" s="763">
        <f>'Statens skalatrin'!L133</f>
        <v>38482.33</v>
      </c>
      <c r="G46" s="579">
        <f>'Statens skalatrin'!O133</f>
        <v>38482.300000000003</v>
      </c>
      <c r="H46" s="850">
        <f t="shared" si="9"/>
        <v>2219.1466666666665</v>
      </c>
      <c r="I46" s="712">
        <f t="shared" si="10"/>
        <v>4438.2933333333331</v>
      </c>
      <c r="J46" s="849">
        <f t="shared" si="11"/>
        <v>6657.44</v>
      </c>
    </row>
    <row r="47" spans="1:11" s="248" customFormat="1" ht="19.95" customHeight="1" thickBot="1">
      <c r="A47" s="797"/>
      <c r="B47" s="774"/>
      <c r="C47" s="721"/>
      <c r="D47" s="721"/>
      <c r="E47" s="721"/>
      <c r="F47" s="721"/>
      <c r="G47" s="737"/>
      <c r="H47" s="721"/>
      <c r="I47" s="722"/>
      <c r="J47" s="722"/>
      <c r="K47" s="722"/>
    </row>
    <row r="48" spans="1:11" ht="19.95" customHeight="1">
      <c r="A48" s="1162" t="s">
        <v>188</v>
      </c>
      <c r="B48" s="1235"/>
      <c r="C48" s="1235"/>
      <c r="D48" s="1235"/>
      <c r="E48" s="1235"/>
      <c r="F48" s="1235"/>
      <c r="G48" s="1235"/>
      <c r="H48" s="1235"/>
      <c r="I48" s="1235"/>
      <c r="J48" s="1236"/>
    </row>
    <row r="49" spans="1:11" ht="16.95" customHeight="1" thickBot="1">
      <c r="A49" s="1867" t="s">
        <v>280</v>
      </c>
      <c r="B49" s="1868"/>
      <c r="C49" s="1868"/>
      <c r="D49" s="1868"/>
      <c r="E49" s="1868"/>
      <c r="F49" s="1868"/>
      <c r="G49" s="1868"/>
      <c r="H49" s="1868"/>
      <c r="I49" s="1868"/>
      <c r="J49" s="1869"/>
    </row>
    <row r="50" spans="1:11" ht="15">
      <c r="A50" s="765"/>
      <c r="B50" s="766"/>
      <c r="C50" s="766"/>
      <c r="D50" s="766"/>
      <c r="E50" s="766"/>
      <c r="F50" s="769"/>
      <c r="G50" s="1876" t="s">
        <v>307</v>
      </c>
      <c r="H50" s="1877"/>
      <c r="I50" s="1876" t="s">
        <v>308</v>
      </c>
      <c r="J50" s="1877"/>
    </row>
    <row r="51" spans="1:11" ht="15.6" thickBot="1">
      <c r="A51" s="767"/>
      <c r="B51" s="768"/>
      <c r="C51" s="768"/>
      <c r="D51" s="768"/>
      <c r="E51" s="768"/>
      <c r="F51" s="707"/>
      <c r="G51" s="1878">
        <v>40999</v>
      </c>
      <c r="H51" s="1879"/>
      <c r="I51" s="1878" t="str">
        <f>'Løntabel gældende fra'!$D$1</f>
        <v>01-11-2025</v>
      </c>
      <c r="J51" s="1879"/>
    </row>
    <row r="52" spans="1:11" ht="16.05" customHeight="1" thickBot="1">
      <c r="A52" s="1870" t="s">
        <v>410</v>
      </c>
      <c r="B52" s="1871"/>
      <c r="C52" s="1871"/>
      <c r="D52" s="1871"/>
      <c r="E52" s="1871"/>
      <c r="F52" s="1872"/>
      <c r="G52" s="1880">
        <v>136.5</v>
      </c>
      <c r="H52" s="1881"/>
      <c r="I52" s="1794">
        <f>ROUND(+G52*(1+'Løntabel gældende fra'!$D$7/100),2)</f>
        <v>170.51</v>
      </c>
      <c r="J52" s="1793"/>
    </row>
    <row r="53" spans="1:11" ht="16.05" customHeight="1" thickBot="1">
      <c r="A53" s="1873" t="s">
        <v>400</v>
      </c>
      <c r="B53" s="1874"/>
      <c r="C53" s="1874"/>
      <c r="D53" s="1874"/>
      <c r="E53" s="1874"/>
      <c r="F53" s="1875"/>
      <c r="G53" s="1794">
        <v>186.5</v>
      </c>
      <c r="H53" s="1793"/>
      <c r="I53" s="1794">
        <f>ROUND(+G53*(1+'Løntabel gældende fra'!$D$7/100),2)</f>
        <v>232.96</v>
      </c>
      <c r="J53" s="1793"/>
    </row>
    <row r="54" spans="1:11" ht="19.95" customHeight="1" thickBot="1">
      <c r="A54" s="770"/>
      <c r="B54" s="485"/>
      <c r="C54" s="485"/>
      <c r="D54" s="485"/>
      <c r="E54" s="485"/>
      <c r="F54" s="485"/>
      <c r="G54" s="770"/>
      <c r="H54" s="55"/>
      <c r="I54" s="55"/>
      <c r="J54" s="55"/>
      <c r="K54" s="55"/>
    </row>
    <row r="55" spans="1:11" ht="19.95" customHeight="1">
      <c r="A55" s="1162" t="s">
        <v>202</v>
      </c>
      <c r="B55" s="1235"/>
      <c r="C55" s="1235"/>
      <c r="D55" s="1235"/>
      <c r="E55" s="1235"/>
      <c r="F55" s="1235"/>
      <c r="G55" s="1235"/>
      <c r="H55" s="1235"/>
      <c r="I55" s="1235"/>
      <c r="J55" s="1236"/>
    </row>
    <row r="56" spans="1:11" ht="21" customHeight="1" thickBot="1">
      <c r="A56" s="1867" t="s">
        <v>345</v>
      </c>
      <c r="B56" s="1868"/>
      <c r="C56" s="1868"/>
      <c r="D56" s="1868"/>
      <c r="E56" s="1868"/>
      <c r="F56" s="1868"/>
      <c r="G56" s="1868"/>
      <c r="H56" s="1868"/>
      <c r="I56" s="1868"/>
      <c r="J56" s="1869"/>
    </row>
    <row r="57" spans="1:11" ht="15">
      <c r="A57" s="765"/>
      <c r="B57" s="766"/>
      <c r="C57" s="766"/>
      <c r="D57" s="766"/>
      <c r="E57" s="766"/>
      <c r="F57" s="769"/>
      <c r="G57" s="1876" t="s">
        <v>404</v>
      </c>
      <c r="H57" s="1877"/>
      <c r="I57" s="1876" t="s">
        <v>402</v>
      </c>
      <c r="J57" s="1877"/>
    </row>
    <row r="58" spans="1:11" ht="15.6" thickBot="1">
      <c r="A58" s="767"/>
      <c r="B58" s="768"/>
      <c r="C58" s="768"/>
      <c r="D58" s="768"/>
      <c r="E58" s="768"/>
      <c r="F58" s="707"/>
      <c r="G58" s="1878">
        <v>40999</v>
      </c>
      <c r="H58" s="1879"/>
      <c r="I58" s="1878" t="str">
        <f>'Løntabel gældende fra'!$D$1</f>
        <v>01-11-2025</v>
      </c>
      <c r="J58" s="1879"/>
    </row>
    <row r="59" spans="1:11" ht="16.05" customHeight="1" thickBot="1">
      <c r="A59" s="777" t="s">
        <v>401</v>
      </c>
      <c r="B59" s="778"/>
      <c r="C59" s="778"/>
      <c r="D59" s="778"/>
      <c r="E59" s="778"/>
      <c r="F59" s="779"/>
      <c r="G59" s="1880">
        <v>300</v>
      </c>
      <c r="H59" s="1881"/>
      <c r="I59" s="1794">
        <f>ROUND(+G59*(1+'Løntabel gældende fra'!$D$7/100),2)</f>
        <v>374.74</v>
      </c>
      <c r="J59" s="1793"/>
    </row>
    <row r="60" spans="1:11" ht="19.95" customHeight="1" thickBot="1">
      <c r="A60" s="1847"/>
      <c r="B60" s="1847"/>
      <c r="C60" s="1847"/>
      <c r="D60" s="1847"/>
      <c r="E60" s="1847"/>
      <c r="F60" s="1847"/>
      <c r="G60" s="1847"/>
      <c r="H60" s="1847"/>
      <c r="I60" s="460"/>
      <c r="J60" s="10"/>
      <c r="K60" s="10"/>
    </row>
    <row r="61" spans="1:11" ht="19.95" customHeight="1" thickBot="1">
      <c r="A61" s="1108" t="s">
        <v>403</v>
      </c>
      <c r="B61" s="1109"/>
      <c r="C61" s="1109"/>
      <c r="D61" s="1109"/>
      <c r="E61" s="1109"/>
      <c r="F61" s="1109"/>
      <c r="G61" s="1109"/>
      <c r="H61" s="1178"/>
      <c r="I61" s="460"/>
      <c r="J61" s="10"/>
      <c r="K61" s="10"/>
    </row>
    <row r="62" spans="1:11" ht="19.95" customHeight="1" thickBot="1">
      <c r="A62" s="787"/>
      <c r="B62" s="788"/>
      <c r="C62" s="1854" t="s">
        <v>439</v>
      </c>
      <c r="D62" s="1662"/>
      <c r="E62" s="1668"/>
      <c r="F62" s="1854" t="s">
        <v>440</v>
      </c>
      <c r="G62" s="1662"/>
      <c r="H62" s="1668"/>
      <c r="I62" s="460"/>
      <c r="J62" s="10"/>
      <c r="K62" s="10"/>
    </row>
    <row r="63" spans="1:11" ht="19.95" customHeight="1">
      <c r="A63" s="771"/>
      <c r="B63" s="772"/>
      <c r="C63" s="1852" t="s">
        <v>128</v>
      </c>
      <c r="D63" s="1852" t="s">
        <v>128</v>
      </c>
      <c r="E63" s="1852" t="s">
        <v>253</v>
      </c>
      <c r="F63" s="1852" t="s">
        <v>128</v>
      </c>
      <c r="G63" s="1852" t="s">
        <v>128</v>
      </c>
      <c r="H63" s="1852" t="s">
        <v>253</v>
      </c>
      <c r="I63" s="775"/>
      <c r="J63" s="776"/>
      <c r="K63" s="776"/>
    </row>
    <row r="64" spans="1:11" ht="19.95" customHeight="1">
      <c r="A64" s="771"/>
      <c r="B64" s="772"/>
      <c r="C64" s="1853"/>
      <c r="D64" s="1853"/>
      <c r="E64" s="1853"/>
      <c r="F64" s="1853"/>
      <c r="G64" s="1853"/>
      <c r="H64" s="1853"/>
      <c r="I64" s="775"/>
      <c r="J64" s="776"/>
      <c r="K64" s="776"/>
    </row>
    <row r="65" spans="1:11" ht="19.95" customHeight="1" thickBot="1">
      <c r="A65" s="780"/>
      <c r="B65" s="789"/>
      <c r="C65" s="781">
        <f>G58</f>
        <v>40999</v>
      </c>
      <c r="D65" s="781" t="str">
        <f>I58</f>
        <v>01-11-2025</v>
      </c>
      <c r="E65" s="781" t="str">
        <f>I58</f>
        <v>01-11-2025</v>
      </c>
      <c r="F65" s="781">
        <f>C65</f>
        <v>40999</v>
      </c>
      <c r="G65" s="781" t="str">
        <f t="shared" ref="G65:H65" si="12">D65</f>
        <v>01-11-2025</v>
      </c>
      <c r="H65" s="781" t="str">
        <f t="shared" si="12"/>
        <v>01-11-2025</v>
      </c>
      <c r="I65" s="775"/>
      <c r="J65" s="776"/>
      <c r="K65" s="776"/>
    </row>
    <row r="66" spans="1:11" ht="16.05" customHeight="1" thickBot="1">
      <c r="A66" s="1845" t="s">
        <v>406</v>
      </c>
      <c r="B66" s="1846"/>
      <c r="C66" s="793"/>
      <c r="D66" s="793"/>
      <c r="E66" s="793"/>
      <c r="F66" s="793"/>
      <c r="G66" s="793"/>
      <c r="H66" s="793"/>
      <c r="I66" s="775"/>
      <c r="J66" s="776"/>
      <c r="K66" s="776"/>
    </row>
    <row r="67" spans="1:11" ht="16.05" customHeight="1">
      <c r="A67" s="1855" t="s">
        <v>340</v>
      </c>
      <c r="B67" s="1856"/>
      <c r="C67" s="783">
        <v>103542</v>
      </c>
      <c r="D67" s="784">
        <f>ROUND(C67+(C67*'Løntabel gældende fra'!$D$7%),2)</f>
        <v>129337</v>
      </c>
      <c r="E67" s="784">
        <f>ROUND(D67/12,2)</f>
        <v>10778.08</v>
      </c>
      <c r="F67" s="784">
        <v>106163</v>
      </c>
      <c r="G67" s="784">
        <f>ROUND(F67+(F67*'Løntabel gældende fra'!$D$7%),2)</f>
        <v>132610.96</v>
      </c>
      <c r="H67" s="783">
        <f>ROUND(G67/12,2)</f>
        <v>11050.91</v>
      </c>
      <c r="I67" s="460"/>
      <c r="J67" s="10"/>
      <c r="K67" s="10"/>
    </row>
    <row r="68" spans="1:11" ht="16.05" customHeight="1">
      <c r="A68" s="1848" t="s">
        <v>339</v>
      </c>
      <c r="B68" s="1849"/>
      <c r="C68" s="785">
        <v>110751</v>
      </c>
      <c r="D68" s="784">
        <f>ROUND(C68+(C68*'Løntabel gældende fra'!$D$7%),2)</f>
        <v>138341.95000000001</v>
      </c>
      <c r="E68" s="784">
        <f t="shared" ref="E68:E70" si="13">ROUND(D68/12,2)</f>
        <v>11528.5</v>
      </c>
      <c r="F68" s="785">
        <v>114027</v>
      </c>
      <c r="G68" s="784">
        <f>ROUND(F68+(F68*'Løntabel gældende fra'!$D$7%),2)</f>
        <v>142434.09</v>
      </c>
      <c r="H68" s="783">
        <f t="shared" ref="H68:H70" si="14">ROUND(G68/12,2)</f>
        <v>11869.51</v>
      </c>
      <c r="I68" s="460"/>
      <c r="J68" s="10"/>
      <c r="K68" s="10"/>
    </row>
    <row r="69" spans="1:11" ht="16.05" customHeight="1">
      <c r="A69" s="1848" t="s">
        <v>338</v>
      </c>
      <c r="B69" s="1849"/>
      <c r="C69" s="785">
        <v>117959</v>
      </c>
      <c r="D69" s="784">
        <f>ROUND(C69+(C69*'Løntabel gældende fra'!$D$7%),2)</f>
        <v>147345.65</v>
      </c>
      <c r="E69" s="784">
        <f t="shared" si="13"/>
        <v>12278.8</v>
      </c>
      <c r="F69" s="785">
        <v>121236</v>
      </c>
      <c r="G69" s="784">
        <f>ROUND(F69+(F69*'Løntabel gældende fra'!$D$7%),2)</f>
        <v>151439.04000000001</v>
      </c>
      <c r="H69" s="783">
        <f t="shared" si="14"/>
        <v>12619.92</v>
      </c>
      <c r="I69" s="460"/>
      <c r="J69" s="10"/>
      <c r="K69" s="10"/>
    </row>
    <row r="70" spans="1:11" ht="16.05" customHeight="1" thickBot="1">
      <c r="A70" s="1850" t="s">
        <v>337</v>
      </c>
      <c r="B70" s="1851"/>
      <c r="C70" s="786">
        <v>126479</v>
      </c>
      <c r="D70" s="784">
        <f>ROUND(C70+(C70*'Løntabel gældende fra'!$D$7%),2)</f>
        <v>157988.21</v>
      </c>
      <c r="E70" s="784">
        <f t="shared" si="13"/>
        <v>13165.68</v>
      </c>
      <c r="F70" s="786">
        <v>130411</v>
      </c>
      <c r="G70" s="784">
        <f>ROUND(F70+(F70*'Løntabel gældende fra'!$D$7%),2)</f>
        <v>162899.76999999999</v>
      </c>
      <c r="H70" s="783">
        <f t="shared" si="14"/>
        <v>13574.98</v>
      </c>
      <c r="I70" s="460"/>
      <c r="J70" s="10"/>
      <c r="K70" s="10"/>
    </row>
    <row r="71" spans="1:11" ht="16.05" customHeight="1" thickBot="1">
      <c r="A71" s="1845" t="s">
        <v>405</v>
      </c>
      <c r="B71" s="1846"/>
      <c r="C71" s="790"/>
      <c r="D71" s="790"/>
      <c r="E71" s="790"/>
      <c r="F71" s="791"/>
      <c r="G71" s="790"/>
      <c r="H71" s="792"/>
      <c r="I71" s="460"/>
      <c r="J71" s="10"/>
      <c r="K71" s="10"/>
    </row>
    <row r="72" spans="1:11" ht="16.05" customHeight="1">
      <c r="A72" s="1855" t="s">
        <v>340</v>
      </c>
      <c r="B72" s="1856"/>
      <c r="C72" s="783">
        <v>130411</v>
      </c>
      <c r="D72" s="784">
        <f>ROUND(C72+(C72*'Løntabel gældende fra'!$D$7%),2)</f>
        <v>162899.76999999999</v>
      </c>
      <c r="E72" s="784">
        <f>ROUND(D72/12,2)</f>
        <v>13574.98</v>
      </c>
      <c r="F72" s="784">
        <v>133687</v>
      </c>
      <c r="G72" s="784">
        <f>ROUND(F72+(F72*'Løntabel gældende fra'!$D$7%),2)</f>
        <v>166991.91</v>
      </c>
      <c r="H72" s="783">
        <f>ROUND(G72/12,2)</f>
        <v>13915.99</v>
      </c>
      <c r="I72" s="460"/>
      <c r="J72" s="10"/>
      <c r="K72" s="10"/>
    </row>
    <row r="73" spans="1:11" ht="16.05" customHeight="1">
      <c r="A73" s="1848" t="s">
        <v>339</v>
      </c>
      <c r="B73" s="1849"/>
      <c r="C73" s="785">
        <v>137619</v>
      </c>
      <c r="D73" s="784">
        <f>ROUND(C73+(C73*'Løntabel gældende fra'!$D$7%),2)</f>
        <v>171903.47</v>
      </c>
      <c r="E73" s="784">
        <f t="shared" ref="E73:E75" si="15">ROUND(D73/12,2)</f>
        <v>14325.29</v>
      </c>
      <c r="F73" s="785">
        <v>140896</v>
      </c>
      <c r="G73" s="784">
        <f>ROUND(F73+(F73*'Løntabel gældende fra'!$D$7%),2)</f>
        <v>175996.86</v>
      </c>
      <c r="H73" s="783">
        <f t="shared" ref="H73:H75" si="16">ROUND(G73/12,2)</f>
        <v>14666.41</v>
      </c>
      <c r="I73" s="460"/>
      <c r="J73" s="10"/>
      <c r="K73" s="10"/>
    </row>
    <row r="74" spans="1:11" ht="16.05" customHeight="1">
      <c r="A74" s="1848" t="s">
        <v>338</v>
      </c>
      <c r="B74" s="1849"/>
      <c r="C74" s="785">
        <v>147777</v>
      </c>
      <c r="D74" s="784">
        <f>ROUND(C74+(C74*'Løntabel gældende fra'!$D$7%),2)</f>
        <v>184592.09</v>
      </c>
      <c r="E74" s="784">
        <f t="shared" si="15"/>
        <v>15382.67</v>
      </c>
      <c r="F74" s="785">
        <v>152037</v>
      </c>
      <c r="G74" s="784">
        <f>ROUND(F74+(F74*'Løntabel gældende fra'!$D$7%),2)</f>
        <v>189913.37</v>
      </c>
      <c r="H74" s="783">
        <f t="shared" si="16"/>
        <v>15826.11</v>
      </c>
      <c r="I74" s="460"/>
      <c r="J74" s="10"/>
      <c r="K74" s="10"/>
    </row>
    <row r="75" spans="1:11" s="248" customFormat="1" ht="16.05" customHeight="1" thickBot="1">
      <c r="A75" s="1850" t="s">
        <v>337</v>
      </c>
      <c r="B75" s="1851"/>
      <c r="C75" s="786">
        <v>155641</v>
      </c>
      <c r="D75" s="784">
        <f>ROUND(C75+(C75*'Løntabel gældende fra'!$D$7%),2)</f>
        <v>194415.22</v>
      </c>
      <c r="E75" s="784">
        <f t="shared" si="15"/>
        <v>16201.27</v>
      </c>
      <c r="F75" s="786">
        <v>160556</v>
      </c>
      <c r="G75" s="784">
        <f>ROUND(F75+(F75*'Løntabel gældende fra'!$D$7%),2)</f>
        <v>200554.67</v>
      </c>
      <c r="H75" s="783">
        <f t="shared" si="16"/>
        <v>16712.89</v>
      </c>
      <c r="I75" s="460"/>
      <c r="J75" s="55"/>
      <c r="K75" s="55"/>
    </row>
    <row r="76" spans="1:11" ht="16.05" customHeight="1" thickBot="1">
      <c r="A76" s="794" t="s">
        <v>408</v>
      </c>
      <c r="B76" s="794"/>
      <c r="C76" s="790"/>
      <c r="D76" s="790"/>
      <c r="E76" s="790"/>
      <c r="F76" s="791"/>
      <c r="G76" s="790"/>
      <c r="H76" s="792"/>
      <c r="I76" s="460"/>
      <c r="J76" s="10"/>
      <c r="K76" s="10"/>
    </row>
    <row r="77" spans="1:11" ht="16.05" customHeight="1" thickBot="1">
      <c r="A77" s="1857" t="s">
        <v>409</v>
      </c>
      <c r="B77" s="1858"/>
      <c r="C77" s="782">
        <v>220533</v>
      </c>
      <c r="D77" s="782">
        <f>ROUND(C77+(C77*'Løntabel gældende fra'!$D$7%),2)</f>
        <v>275473.5</v>
      </c>
      <c r="E77" s="782">
        <f>ROUND(D77/12,2)</f>
        <v>22956.13</v>
      </c>
      <c r="F77" s="782">
        <v>222812</v>
      </c>
      <c r="G77" s="782">
        <f>ROUND(F77+(F77*'Løntabel gældende fra'!$D$7%),2)</f>
        <v>278320.26</v>
      </c>
      <c r="H77" s="795">
        <f>ROUND(G77/12,2)</f>
        <v>23193.360000000001</v>
      </c>
      <c r="I77" s="460"/>
      <c r="J77" s="10"/>
      <c r="K77" s="10"/>
    </row>
    <row r="78" spans="1:11">
      <c r="A78" s="218"/>
      <c r="B78" s="218"/>
      <c r="C78" s="218"/>
      <c r="D78" s="219"/>
    </row>
    <row r="79" spans="1:11">
      <c r="D79" s="220"/>
    </row>
    <row r="80" spans="1:11">
      <c r="D80" s="220"/>
    </row>
    <row r="81" spans="4:4">
      <c r="D81" s="220"/>
    </row>
    <row r="82" spans="4:4">
      <c r="D82" s="221"/>
    </row>
  </sheetData>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1"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defaultColWidth="8.77734375" defaultRowHeight="13.2"/>
  <cols>
    <col min="1" max="1" width="22.33203125" style="206" customWidth="1"/>
    <col min="2" max="2" width="10.6640625" style="206" customWidth="1"/>
    <col min="3" max="3" width="11" style="206" customWidth="1"/>
    <col min="4" max="4" width="10.33203125" style="206" customWidth="1"/>
    <col min="5" max="5" width="11.33203125" style="206" customWidth="1"/>
    <col min="6" max="6" width="10.6640625" style="206" customWidth="1"/>
    <col min="7" max="7" width="10.33203125" style="206" customWidth="1"/>
    <col min="8" max="8" width="11.109375" style="206" customWidth="1"/>
    <col min="9" max="9" width="11" style="206" customWidth="1"/>
    <col min="10" max="10" width="10.77734375" style="206" customWidth="1"/>
    <col min="11" max="16384" width="8.77734375" style="206"/>
  </cols>
  <sheetData>
    <row r="1" spans="1:12" ht="20.25" customHeight="1">
      <c r="A1" s="1890" t="s">
        <v>19</v>
      </c>
      <c r="B1" s="1891"/>
      <c r="C1" s="1891"/>
      <c r="D1" s="1891"/>
      <c r="E1" s="1891"/>
      <c r="F1" s="1891"/>
      <c r="G1" s="1891"/>
      <c r="H1" s="1891"/>
      <c r="I1" s="1891"/>
      <c r="J1" s="1892"/>
    </row>
    <row r="2" spans="1:12" ht="19.95" customHeight="1">
      <c r="A2" s="1893" t="s">
        <v>199</v>
      </c>
      <c r="B2" s="1894"/>
      <c r="C2" s="1894"/>
      <c r="D2" s="1894"/>
      <c r="E2" s="1894"/>
      <c r="F2" s="1894"/>
      <c r="G2" s="1894"/>
      <c r="H2" s="1894"/>
      <c r="I2" s="1894"/>
      <c r="J2" s="1895"/>
    </row>
    <row r="3" spans="1:12" ht="19.5" customHeight="1">
      <c r="A3" s="1896" t="s">
        <v>522</v>
      </c>
      <c r="B3" s="1897"/>
      <c r="C3" s="1897"/>
      <c r="D3" s="1897"/>
      <c r="E3" s="1897"/>
      <c r="F3" s="1897"/>
      <c r="G3" s="1897"/>
      <c r="H3" s="1897"/>
      <c r="I3" s="1897"/>
      <c r="J3" s="1898"/>
    </row>
    <row r="4" spans="1:12" ht="33" customHeight="1" thickBot="1">
      <c r="A4" s="1830" t="s">
        <v>211</v>
      </c>
      <c r="B4" s="1831"/>
      <c r="C4" s="1831"/>
      <c r="D4" s="1831"/>
      <c r="E4" s="1831"/>
      <c r="F4" s="1831"/>
      <c r="G4" s="1831"/>
      <c r="H4" s="1831"/>
      <c r="I4" s="1831"/>
      <c r="J4" s="1832"/>
    </row>
    <row r="5" spans="1:12" ht="14.4" thickBot="1">
      <c r="A5" s="222"/>
      <c r="B5" s="222"/>
      <c r="C5" s="222"/>
      <c r="D5" s="222"/>
      <c r="E5" s="253"/>
      <c r="F5" s="253"/>
      <c r="G5" s="253"/>
      <c r="H5" s="253"/>
    </row>
    <row r="6" spans="1:12" s="232" customFormat="1" ht="18" thickBot="1">
      <c r="A6" s="1656" t="s">
        <v>523</v>
      </c>
      <c r="B6" s="1657"/>
      <c r="C6" s="1657"/>
      <c r="D6" s="1657"/>
      <c r="E6" s="1657"/>
      <c r="F6" s="1657"/>
      <c r="G6" s="1657"/>
      <c r="H6" s="1657"/>
      <c r="I6" s="1657"/>
      <c r="J6" s="1658"/>
    </row>
    <row r="7" spans="1:12" s="232" customFormat="1" ht="40.950000000000003" customHeight="1">
      <c r="A7" s="430" t="s">
        <v>361</v>
      </c>
      <c r="B7" s="430" t="s">
        <v>476</v>
      </c>
      <c r="C7" s="433" t="s">
        <v>477</v>
      </c>
      <c r="D7" s="430" t="s">
        <v>478</v>
      </c>
      <c r="E7" s="430" t="s">
        <v>479</v>
      </c>
      <c r="F7" s="430" t="s">
        <v>480</v>
      </c>
      <c r="G7" s="433" t="s">
        <v>481</v>
      </c>
      <c r="H7" s="430" t="s">
        <v>482</v>
      </c>
      <c r="I7" s="430" t="s">
        <v>483</v>
      </c>
      <c r="J7" s="904" t="s">
        <v>484</v>
      </c>
    </row>
    <row r="8" spans="1:12" s="232" customFormat="1" ht="13.95" customHeight="1">
      <c r="A8" s="905" t="s">
        <v>485</v>
      </c>
      <c r="B8" s="906">
        <v>24965</v>
      </c>
      <c r="C8" s="906">
        <v>28221</v>
      </c>
      <c r="D8" s="906">
        <v>34463</v>
      </c>
      <c r="E8" s="906">
        <v>23880</v>
      </c>
      <c r="F8" s="906">
        <v>24965</v>
      </c>
      <c r="G8" s="906">
        <v>27679</v>
      </c>
      <c r="H8" s="906">
        <v>23880</v>
      </c>
      <c r="I8" s="906">
        <v>24965</v>
      </c>
      <c r="J8" s="906">
        <v>23880</v>
      </c>
    </row>
    <row r="9" spans="1:12" s="232" customFormat="1" ht="13.5" customHeight="1">
      <c r="A9" s="907" t="s">
        <v>486</v>
      </c>
      <c r="B9" s="908">
        <f t="shared" ref="B9:J11" si="0">SUM((B8*4%)+B8)</f>
        <v>25963.599999999999</v>
      </c>
      <c r="C9" s="908">
        <f t="shared" si="0"/>
        <v>29349.84</v>
      </c>
      <c r="D9" s="908">
        <f>SUM(((D8*4%)+D8)-1)</f>
        <v>35840.519999999997</v>
      </c>
      <c r="E9" s="908">
        <f t="shared" si="0"/>
        <v>24835.200000000001</v>
      </c>
      <c r="F9" s="908">
        <f t="shared" si="0"/>
        <v>25963.599999999999</v>
      </c>
      <c r="G9" s="908">
        <f t="shared" si="0"/>
        <v>28786.16</v>
      </c>
      <c r="H9" s="908">
        <f t="shared" si="0"/>
        <v>24835.200000000001</v>
      </c>
      <c r="I9" s="908">
        <f t="shared" si="0"/>
        <v>25963.599999999999</v>
      </c>
      <c r="J9" s="908">
        <f t="shared" si="0"/>
        <v>24835.200000000001</v>
      </c>
    </row>
    <row r="10" spans="1:12" s="232" customFormat="1" ht="15" customHeight="1">
      <c r="A10" s="905" t="s">
        <v>487</v>
      </c>
      <c r="B10" s="908">
        <f t="shared" si="0"/>
        <v>27002.144</v>
      </c>
      <c r="C10" s="908">
        <f t="shared" si="0"/>
        <v>30523.833600000002</v>
      </c>
      <c r="D10" s="908">
        <f>SUM((D9*4%)+D9+1)</f>
        <v>37275.140799999994</v>
      </c>
      <c r="E10" s="908">
        <f>SUM(((E9*4%)+E9)-1)</f>
        <v>25827.608</v>
      </c>
      <c r="F10" s="908">
        <f t="shared" si="0"/>
        <v>27002.144</v>
      </c>
      <c r="G10" s="908">
        <f>SUM(((G9*4%)+G9)-1)</f>
        <v>29936.606400000001</v>
      </c>
      <c r="H10" s="908">
        <f>SUM(((H9*4%)+H9)-1)</f>
        <v>25827.608</v>
      </c>
      <c r="I10" s="908">
        <f t="shared" si="0"/>
        <v>27002.144</v>
      </c>
      <c r="J10" s="908">
        <f>SUM(((J9*4%)+J9)-1)</f>
        <v>25827.608</v>
      </c>
      <c r="L10" s="234"/>
    </row>
    <row r="11" spans="1:12" s="232" customFormat="1" ht="15" customHeight="1">
      <c r="A11" s="905" t="s">
        <v>488</v>
      </c>
      <c r="B11" s="909"/>
      <c r="C11" s="909"/>
      <c r="D11" s="909"/>
      <c r="E11" s="908">
        <f t="shared" si="0"/>
        <v>26860.712319999999</v>
      </c>
      <c r="F11" s="909"/>
      <c r="G11" s="909"/>
      <c r="H11" s="908">
        <f t="shared" si="0"/>
        <v>26860.712319999999</v>
      </c>
      <c r="I11" s="909"/>
      <c r="J11" s="908">
        <f>SUM((J10*4%)+J10)</f>
        <v>26860.712319999999</v>
      </c>
      <c r="L11" s="234"/>
    </row>
    <row r="12" spans="1:12" s="232" customFormat="1" ht="15" customHeight="1">
      <c r="A12" s="910" t="s">
        <v>489</v>
      </c>
      <c r="B12" s="908">
        <f>SUM((B10*4%)+B10)</f>
        <v>28082.229760000002</v>
      </c>
      <c r="C12" s="908">
        <f>SUM((C10*4%)+C10)</f>
        <v>31744.786944000003</v>
      </c>
      <c r="D12" s="908">
        <f>SUM((D10*4%)+D10)</f>
        <v>38766.146431999994</v>
      </c>
      <c r="E12" s="909"/>
      <c r="F12" s="908">
        <f>SUM((F10*4%)+F10)</f>
        <v>28082.229760000002</v>
      </c>
      <c r="G12" s="908">
        <f>SUM(((G10*4%)+G10)+1)</f>
        <v>31135.070656</v>
      </c>
      <c r="H12" s="909"/>
      <c r="I12" s="908">
        <f>SUM((I10*4%)+I10)</f>
        <v>28082.229760000002</v>
      </c>
      <c r="J12" s="909"/>
      <c r="L12" s="234"/>
    </row>
    <row r="13" spans="1:12" s="232" customFormat="1" ht="15" customHeight="1" thickBot="1">
      <c r="A13" s="855" t="s">
        <v>490</v>
      </c>
      <c r="B13" s="911">
        <f>SUM((B12*4%)+B12)</f>
        <v>29205.518950400001</v>
      </c>
      <c r="C13" s="911">
        <f>SUM((C12*4%)+C12)</f>
        <v>33014.578421760001</v>
      </c>
      <c r="D13" s="911">
        <f>SUM((D12*4%)+D12)</f>
        <v>40316.792289279991</v>
      </c>
      <c r="E13" s="912"/>
      <c r="F13" s="911">
        <f>SUM((F12*4%)+F12)</f>
        <v>29205.518950400001</v>
      </c>
      <c r="G13" s="911">
        <f>SUM((G12*4%)+G12)</f>
        <v>32380.473482239999</v>
      </c>
      <c r="H13" s="912"/>
      <c r="I13" s="911">
        <f>SUM((I12*4%)+I12)</f>
        <v>29205.518950400001</v>
      </c>
      <c r="J13" s="912"/>
      <c r="L13" s="234"/>
    </row>
    <row r="14" spans="1:12" s="232" customFormat="1" ht="15" customHeight="1">
      <c r="A14" s="913"/>
      <c r="B14" s="914"/>
      <c r="C14" s="914"/>
      <c r="D14" s="915"/>
      <c r="E14" s="851"/>
      <c r="F14" s="852"/>
      <c r="G14" s="853"/>
      <c r="H14" s="853"/>
      <c r="I14" s="235"/>
      <c r="J14" s="233"/>
      <c r="L14" s="234"/>
    </row>
    <row r="15" spans="1:12" s="232" customFormat="1" ht="14.4" thickBot="1">
      <c r="B15" s="233"/>
      <c r="C15" s="233"/>
      <c r="D15" s="233"/>
      <c r="E15" s="258"/>
      <c r="F15" s="258"/>
      <c r="G15" s="258"/>
      <c r="H15" s="258"/>
    </row>
    <row r="16" spans="1:12" s="232" customFormat="1" ht="18" thickBot="1">
      <c r="A16" s="1656" t="s">
        <v>167</v>
      </c>
      <c r="B16" s="1657"/>
      <c r="C16" s="1657"/>
      <c r="D16" s="1658"/>
    </row>
    <row r="17" spans="1:10" s="232" customFormat="1" ht="15" customHeight="1" thickBot="1">
      <c r="A17" s="1899" t="s">
        <v>168</v>
      </c>
      <c r="B17" s="1900"/>
      <c r="C17" s="1900"/>
      <c r="D17" s="1901"/>
    </row>
    <row r="18" spans="1:10" s="232" customFormat="1" ht="16.05" customHeight="1" thickBot="1">
      <c r="A18" s="854" t="s">
        <v>188</v>
      </c>
      <c r="B18" s="951">
        <v>45383</v>
      </c>
      <c r="C18" s="891">
        <v>45748</v>
      </c>
      <c r="D18" s="892"/>
    </row>
    <row r="19" spans="1:10" s="232" customFormat="1" ht="16.05" customHeight="1" thickBot="1">
      <c r="A19" s="855" t="s">
        <v>189</v>
      </c>
      <c r="B19" s="952">
        <v>146</v>
      </c>
      <c r="C19" s="916">
        <v>149</v>
      </c>
      <c r="D19" s="835"/>
      <c r="F19" s="233"/>
      <c r="G19" s="233"/>
      <c r="H19" s="233"/>
      <c r="I19" s="233"/>
      <c r="J19" s="233"/>
    </row>
    <row r="20" spans="1:10" s="232" customFormat="1" ht="16.05" customHeight="1" thickBot="1">
      <c r="A20" s="241"/>
      <c r="B20" s="798"/>
      <c r="C20" s="798"/>
      <c r="D20" s="798"/>
      <c r="F20" s="233"/>
      <c r="G20" s="233"/>
      <c r="H20" s="233"/>
      <c r="I20" s="233"/>
      <c r="J20" s="233"/>
    </row>
    <row r="21" spans="1:10" s="232" customFormat="1" ht="19.05" customHeight="1" thickBot="1">
      <c r="A21" s="1765" t="s">
        <v>192</v>
      </c>
      <c r="B21" s="1766"/>
      <c r="C21" s="1766"/>
      <c r="D21" s="1657"/>
      <c r="E21" s="1658"/>
      <c r="F21" s="233"/>
      <c r="G21" s="233"/>
      <c r="H21" s="233"/>
      <c r="I21" s="233"/>
      <c r="J21" s="233"/>
    </row>
    <row r="22" spans="1:10" s="232" customFormat="1" ht="16.05" customHeight="1" thickBot="1">
      <c r="A22" s="878" t="s">
        <v>193</v>
      </c>
      <c r="B22" s="879"/>
      <c r="C22" s="953">
        <v>45383</v>
      </c>
      <c r="D22" s="917">
        <v>45748</v>
      </c>
      <c r="E22" s="302"/>
      <c r="F22" s="233"/>
      <c r="G22" s="233"/>
      <c r="H22" s="233"/>
      <c r="I22" s="233"/>
      <c r="J22" s="233"/>
    </row>
    <row r="23" spans="1:10" s="232" customFormat="1" ht="16.05" customHeight="1">
      <c r="A23" s="300" t="s">
        <v>491</v>
      </c>
      <c r="B23" s="301"/>
      <c r="C23" s="954">
        <v>79</v>
      </c>
      <c r="D23" s="918">
        <v>80</v>
      </c>
      <c r="E23" s="856"/>
      <c r="F23" s="233"/>
      <c r="G23" s="233"/>
      <c r="H23" s="233"/>
      <c r="I23" s="233"/>
      <c r="J23" s="233"/>
    </row>
    <row r="24" spans="1:10" s="232" customFormat="1" ht="16.05" customHeight="1">
      <c r="A24" s="304" t="s">
        <v>190</v>
      </c>
      <c r="B24" s="303"/>
      <c r="C24" s="955">
        <v>89</v>
      </c>
      <c r="D24" s="267">
        <v>91</v>
      </c>
      <c r="E24" s="857"/>
      <c r="F24" s="233"/>
      <c r="G24" s="233"/>
      <c r="H24" s="233"/>
      <c r="I24" s="233"/>
      <c r="J24" s="233"/>
    </row>
    <row r="25" spans="1:10" s="232" customFormat="1" ht="16.05" customHeight="1" thickBot="1">
      <c r="A25" s="305" t="s">
        <v>191</v>
      </c>
      <c r="B25" s="306"/>
      <c r="C25" s="956">
        <v>102</v>
      </c>
      <c r="D25" s="449">
        <v>105</v>
      </c>
      <c r="E25" s="858"/>
      <c r="F25" s="233"/>
      <c r="G25" s="233"/>
      <c r="H25" s="233"/>
      <c r="I25" s="233"/>
      <c r="J25" s="233"/>
    </row>
    <row r="26" spans="1:10" s="232" customFormat="1" ht="14.4" thickBot="1">
      <c r="A26" s="241"/>
      <c r="B26" s="240"/>
      <c r="C26" s="240"/>
      <c r="D26" s="240"/>
      <c r="G26" s="258"/>
    </row>
    <row r="27" spans="1:10" s="232" customFormat="1" ht="18" thickBot="1">
      <c r="A27" s="1902" t="s">
        <v>169</v>
      </c>
      <c r="B27" s="1903"/>
      <c r="C27" s="1903"/>
      <c r="D27" s="1903"/>
      <c r="E27" s="1903"/>
      <c r="F27" s="1904"/>
      <c r="G27" s="859"/>
    </row>
    <row r="28" spans="1:10" s="232" customFormat="1" ht="14.4" thickBot="1">
      <c r="A28" s="1905"/>
      <c r="B28" s="1906"/>
      <c r="C28" s="1906"/>
      <c r="D28" s="953">
        <v>45383</v>
      </c>
      <c r="E28" s="917">
        <v>45748</v>
      </c>
      <c r="F28" s="801"/>
      <c r="G28" s="860"/>
    </row>
    <row r="29" spans="1:10" s="232" customFormat="1" ht="13.95" customHeight="1">
      <c r="A29" s="1907" t="s">
        <v>195</v>
      </c>
      <c r="B29" s="1908"/>
      <c r="C29" s="919" t="s">
        <v>162</v>
      </c>
      <c r="D29" s="957">
        <v>39</v>
      </c>
      <c r="E29" s="920">
        <v>40</v>
      </c>
      <c r="F29" s="921"/>
      <c r="G29" s="861"/>
    </row>
    <row r="30" spans="1:10" s="232" customFormat="1" ht="13.8">
      <c r="A30" s="1888" t="s">
        <v>196</v>
      </c>
      <c r="B30" s="1889"/>
      <c r="C30" s="890" t="s">
        <v>162</v>
      </c>
      <c r="D30" s="958">
        <v>59</v>
      </c>
      <c r="E30" s="922">
        <v>60</v>
      </c>
      <c r="F30" s="862"/>
      <c r="G30" s="861"/>
    </row>
    <row r="31" spans="1:10" s="232" customFormat="1" ht="22.95" customHeight="1">
      <c r="A31" s="1909" t="s">
        <v>194</v>
      </c>
      <c r="B31" s="1910"/>
      <c r="C31" s="890" t="s">
        <v>162</v>
      </c>
      <c r="D31" s="958">
        <v>64</v>
      </c>
      <c r="E31" s="922">
        <v>66</v>
      </c>
      <c r="F31" s="862"/>
      <c r="G31" s="861"/>
    </row>
    <row r="32" spans="1:10" s="232" customFormat="1" ht="15.75" customHeight="1" thickBot="1">
      <c r="A32" s="1911" t="s">
        <v>492</v>
      </c>
      <c r="B32" s="1912"/>
      <c r="C32" s="307" t="s">
        <v>162</v>
      </c>
      <c r="D32" s="959">
        <v>23</v>
      </c>
      <c r="E32" s="923">
        <v>24</v>
      </c>
      <c r="F32" s="863"/>
      <c r="G32" s="861"/>
    </row>
    <row r="33" spans="1:10" s="232" customFormat="1" ht="14.4" thickBot="1">
      <c r="A33" s="222"/>
      <c r="B33" s="222"/>
      <c r="C33" s="222"/>
      <c r="D33" s="222"/>
      <c r="E33" s="222"/>
      <c r="F33" s="223"/>
      <c r="G33" s="222"/>
    </row>
    <row r="34" spans="1:10" s="232" customFormat="1" ht="18" thickBot="1">
      <c r="A34" s="1656" t="s">
        <v>524</v>
      </c>
      <c r="B34" s="1657"/>
      <c r="C34" s="1657"/>
      <c r="D34" s="1657"/>
      <c r="E34" s="1657"/>
      <c r="F34" s="1657"/>
      <c r="G34" s="1657"/>
      <c r="H34" s="1657"/>
      <c r="I34" s="1657"/>
      <c r="J34" s="1658"/>
    </row>
    <row r="35" spans="1:10" s="232" customFormat="1" ht="42" customHeight="1">
      <c r="A35" s="433" t="s">
        <v>493</v>
      </c>
      <c r="B35" s="1913" t="s">
        <v>494</v>
      </c>
      <c r="C35" s="1914"/>
      <c r="D35" s="1913" t="s">
        <v>399</v>
      </c>
      <c r="E35" s="1914"/>
      <c r="F35" s="430" t="s">
        <v>480</v>
      </c>
      <c r="G35" s="1913" t="s">
        <v>481</v>
      </c>
      <c r="H35" s="1914"/>
      <c r="I35" s="1913" t="s">
        <v>495</v>
      </c>
      <c r="J35" s="1914"/>
    </row>
    <row r="36" spans="1:10" s="232" customFormat="1" ht="15" customHeight="1">
      <c r="A36" s="924" t="s">
        <v>496</v>
      </c>
      <c r="B36" s="1915" t="s">
        <v>525</v>
      </c>
      <c r="C36" s="1916"/>
      <c r="D36" s="1915" t="s">
        <v>525</v>
      </c>
      <c r="E36" s="1916"/>
      <c r="F36" s="906" t="s">
        <v>526</v>
      </c>
      <c r="G36" s="1915" t="s">
        <v>526</v>
      </c>
      <c r="H36" s="1916"/>
      <c r="I36" s="1915" t="s">
        <v>526</v>
      </c>
      <c r="J36" s="1916"/>
    </row>
    <row r="37" spans="1:10" s="232" customFormat="1" ht="15" customHeight="1">
      <c r="A37" s="738"/>
      <c r="B37" s="1917"/>
      <c r="C37" s="1918"/>
      <c r="D37" s="1917"/>
      <c r="E37" s="1918"/>
      <c r="F37" s="909"/>
      <c r="G37" s="1917"/>
      <c r="H37" s="1918"/>
      <c r="I37" s="1917"/>
      <c r="J37" s="1918"/>
    </row>
    <row r="38" spans="1:10" s="232" customFormat="1" ht="15" customHeight="1">
      <c r="A38" s="924" t="s">
        <v>497</v>
      </c>
      <c r="B38" s="1915" t="s">
        <v>526</v>
      </c>
      <c r="C38" s="1916"/>
      <c r="D38" s="1917"/>
      <c r="E38" s="1918"/>
      <c r="F38" s="908" t="s">
        <v>527</v>
      </c>
      <c r="G38" s="1919" t="s">
        <v>527</v>
      </c>
      <c r="H38" s="1920"/>
      <c r="I38" s="1919"/>
      <c r="J38" s="1920"/>
    </row>
    <row r="39" spans="1:10" s="232" customFormat="1" ht="15" customHeight="1">
      <c r="A39" s="924"/>
      <c r="B39" s="1917"/>
      <c r="C39" s="1918"/>
      <c r="D39" s="1917"/>
      <c r="E39" s="1918"/>
      <c r="F39" s="909"/>
      <c r="G39" s="1917"/>
      <c r="H39" s="1918"/>
      <c r="I39" s="1917"/>
      <c r="J39" s="1918"/>
    </row>
    <row r="40" spans="1:10" s="232" customFormat="1" ht="15" customHeight="1">
      <c r="A40" s="925" t="s">
        <v>498</v>
      </c>
      <c r="B40" s="1919" t="s">
        <v>527</v>
      </c>
      <c r="C40" s="1920"/>
      <c r="D40" s="1919" t="s">
        <v>527</v>
      </c>
      <c r="E40" s="1920"/>
      <c r="F40" s="909"/>
      <c r="G40" s="1917"/>
      <c r="H40" s="1918"/>
      <c r="I40" s="1917"/>
      <c r="J40" s="1918"/>
    </row>
    <row r="41" spans="1:10" s="232" customFormat="1" ht="15" customHeight="1" thickBot="1">
      <c r="A41" s="926"/>
      <c r="B41" s="1921"/>
      <c r="C41" s="1922"/>
      <c r="D41" s="1923"/>
      <c r="E41" s="1924"/>
      <c r="F41" s="912"/>
      <c r="G41" s="1923"/>
      <c r="H41" s="1924"/>
      <c r="I41" s="1923"/>
      <c r="J41" s="1924"/>
    </row>
    <row r="42" spans="1:10" s="232" customFormat="1" ht="13.8">
      <c r="A42" s="222"/>
      <c r="B42" s="222"/>
      <c r="C42" s="222"/>
      <c r="D42" s="222"/>
      <c r="E42" s="222"/>
      <c r="F42" s="223"/>
      <c r="G42" s="222"/>
    </row>
    <row r="43" spans="1:10" s="232" customFormat="1" ht="9" customHeight="1">
      <c r="A43" s="864"/>
      <c r="B43" s="799"/>
      <c r="C43" s="799"/>
      <c r="D43" s="865"/>
      <c r="E43" s="799"/>
      <c r="F43" s="799"/>
      <c r="G43" s="865"/>
      <c r="H43" s="866"/>
      <c r="I43" s="865"/>
      <c r="J43" s="865"/>
    </row>
    <row r="44" spans="1:10" s="232" customFormat="1" ht="16.95" customHeight="1">
      <c r="A44" s="232" t="s">
        <v>214</v>
      </c>
      <c r="F44" s="299"/>
      <c r="G44" s="222"/>
      <c r="H44" s="866"/>
      <c r="I44" s="865"/>
      <c r="J44" s="865"/>
    </row>
    <row r="45" spans="1:10" s="232" customFormat="1" ht="16.95" customHeight="1">
      <c r="A45" s="456" t="s">
        <v>197</v>
      </c>
      <c r="F45" s="299"/>
      <c r="G45" s="222"/>
      <c r="H45" s="866"/>
      <c r="I45" s="865"/>
      <c r="J45" s="865"/>
    </row>
    <row r="46" spans="1:10" s="232" customFormat="1" ht="16.95" customHeight="1">
      <c r="A46" s="456" t="s">
        <v>499</v>
      </c>
      <c r="F46" s="299"/>
      <c r="G46" s="222"/>
      <c r="H46" s="866"/>
      <c r="I46" s="865"/>
      <c r="J46" s="865"/>
    </row>
    <row r="47" spans="1:10" s="232" customFormat="1" ht="12" customHeight="1">
      <c r="A47" s="456"/>
      <c r="F47" s="299"/>
      <c r="G47" s="222"/>
      <c r="H47" s="866"/>
      <c r="I47" s="865"/>
      <c r="J47" s="865"/>
    </row>
    <row r="48" spans="1:10" s="232" customFormat="1" ht="22.05" customHeight="1" thickBot="1">
      <c r="A48" s="880" t="s">
        <v>528</v>
      </c>
    </row>
    <row r="49" spans="1:10" s="232" customFormat="1" ht="22.05" customHeight="1" thickBot="1">
      <c r="A49" s="1656" t="s">
        <v>212</v>
      </c>
      <c r="B49" s="1657"/>
      <c r="C49" s="1657"/>
      <c r="D49" s="1657"/>
      <c r="E49" s="1657"/>
      <c r="F49" s="1657"/>
      <c r="G49" s="1658"/>
      <c r="H49" s="234"/>
    </row>
    <row r="50" spans="1:10" s="232" customFormat="1" ht="18" customHeight="1" thickBot="1">
      <c r="A50" s="1899" t="s">
        <v>500</v>
      </c>
      <c r="B50" s="1900"/>
      <c r="C50" s="1900"/>
      <c r="D50" s="1900"/>
      <c r="E50" s="1900"/>
      <c r="F50" s="1900"/>
      <c r="G50" s="1901"/>
    </row>
    <row r="51" spans="1:10" s="232" customFormat="1" ht="16.05" customHeight="1" thickBot="1">
      <c r="A51" s="802"/>
      <c r="B51" s="1929">
        <v>45383</v>
      </c>
      <c r="C51" s="1930"/>
      <c r="D51" s="1931">
        <v>45748</v>
      </c>
      <c r="E51" s="1932"/>
      <c r="F51" s="1933"/>
      <c r="G51" s="1934"/>
    </row>
    <row r="52" spans="1:10" s="232" customFormat="1" ht="16.05" customHeight="1" thickBot="1">
      <c r="A52" s="855" t="s">
        <v>213</v>
      </c>
      <c r="B52" s="1935">
        <v>6</v>
      </c>
      <c r="C52" s="1936"/>
      <c r="D52" s="1937">
        <v>2.4</v>
      </c>
      <c r="E52" s="1938"/>
      <c r="F52" s="1939"/>
      <c r="G52" s="1940"/>
      <c r="H52" s="225"/>
    </row>
    <row r="53" spans="1:10" s="232" customFormat="1" ht="14.4" thickBot="1">
      <c r="A53" s="867"/>
      <c r="B53" s="868"/>
      <c r="C53" s="800"/>
      <c r="D53" s="800"/>
    </row>
    <row r="54" spans="1:10" s="232" customFormat="1" ht="22.95" customHeight="1" thickBot="1">
      <c r="A54" s="1656" t="s">
        <v>381</v>
      </c>
      <c r="B54" s="1657"/>
      <c r="C54" s="1657"/>
      <c r="D54" s="1657"/>
      <c r="E54" s="1658"/>
    </row>
    <row r="55" spans="1:10" s="232" customFormat="1" ht="18" customHeight="1" thickBot="1">
      <c r="A55" s="1899" t="s">
        <v>383</v>
      </c>
      <c r="B55" s="1900"/>
      <c r="C55" s="1900"/>
      <c r="D55" s="1900"/>
      <c r="E55" s="1901"/>
    </row>
    <row r="56" spans="1:10" s="232" customFormat="1" ht="19.05" customHeight="1" thickBot="1">
      <c r="A56" s="1925"/>
      <c r="B56" s="1926"/>
      <c r="C56" s="960">
        <v>45383</v>
      </c>
      <c r="D56" s="869">
        <v>45748</v>
      </c>
      <c r="E56" s="881"/>
    </row>
    <row r="57" spans="1:10" s="232" customFormat="1" ht="19.95" customHeight="1" thickBot="1">
      <c r="A57" s="1927" t="s">
        <v>382</v>
      </c>
      <c r="B57" s="1928"/>
      <c r="C57" s="961">
        <v>3680</v>
      </c>
      <c r="D57" s="870">
        <v>3769</v>
      </c>
      <c r="E57" s="882"/>
    </row>
    <row r="58" spans="1:10" s="232" customFormat="1" ht="13.8">
      <c r="A58" s="871"/>
      <c r="B58" s="871"/>
      <c r="C58" s="872"/>
      <c r="D58" s="872"/>
    </row>
    <row r="59" spans="1:10" ht="13.8">
      <c r="A59" s="871"/>
      <c r="B59" s="871"/>
      <c r="C59" s="872"/>
      <c r="D59" s="872"/>
      <c r="E59" s="232"/>
      <c r="F59" s="232"/>
      <c r="G59" s="232"/>
      <c r="H59" s="232"/>
      <c r="I59" s="232"/>
      <c r="J59" s="232"/>
    </row>
    <row r="60" spans="1:10" s="232" customFormat="1" ht="13.8">
      <c r="E60" s="206"/>
      <c r="F60" s="206"/>
      <c r="G60" s="206"/>
      <c r="H60" s="206"/>
      <c r="I60" s="206"/>
      <c r="J60" s="206"/>
    </row>
    <row r="61" spans="1:10" s="232" customFormat="1" ht="13.8"/>
    <row r="62" spans="1:10" s="232" customFormat="1" ht="13.8"/>
    <row r="63" spans="1:10" s="232" customFormat="1" ht="13.8"/>
    <row r="64" spans="1:10" s="232" customFormat="1" ht="13.8"/>
    <row r="65" s="232" customFormat="1" ht="13.8"/>
    <row r="66" s="232" customFormat="1" ht="13.8"/>
    <row r="67" s="232" customFormat="1" ht="13.8"/>
    <row r="68" s="232" customFormat="1" ht="13.8"/>
    <row r="69" s="232" customFormat="1" ht="13.8"/>
    <row r="70" s="232" customFormat="1" ht="13.8"/>
    <row r="71" s="232" customFormat="1" ht="13.8"/>
    <row r="72" s="232" customFormat="1" ht="13.8"/>
    <row r="73" s="232" customFormat="1" ht="13.8"/>
    <row r="74" s="232" customFormat="1" ht="13.8"/>
    <row r="75" s="232" customFormat="1" ht="13.8"/>
    <row r="76" s="232" customFormat="1" ht="13.8"/>
    <row r="77" s="232" customFormat="1" ht="13.8"/>
    <row r="78" s="232" customFormat="1" ht="13.8"/>
    <row r="79" s="232" customFormat="1" ht="13.8"/>
    <row r="80" s="232" customFormat="1" ht="13.8"/>
    <row r="81" s="232" customFormat="1" ht="13.8"/>
    <row r="82" s="232" customFormat="1" ht="13.8"/>
    <row r="83" s="232" customFormat="1" ht="13.8"/>
    <row r="84" s="232" customFormat="1" ht="13.8"/>
    <row r="85" s="232" customFormat="1" ht="13.8"/>
    <row r="86" s="232" customFormat="1" ht="13.8"/>
    <row r="87" s="232" customFormat="1" ht="13.8"/>
    <row r="88" s="232" customFormat="1" ht="13.8"/>
    <row r="89" s="232" customFormat="1" ht="13.8"/>
    <row r="90" s="232" customFormat="1" ht="13.8"/>
    <row r="91" s="232" customFormat="1" ht="13.8"/>
    <row r="92" s="232" customFormat="1" ht="13.8"/>
    <row r="93" s="232" customFormat="1" ht="13.8"/>
    <row r="94" s="232" customFormat="1" ht="13.8"/>
    <row r="95" s="232" customFormat="1" ht="13.8"/>
    <row r="96" s="232" customFormat="1" ht="13.8"/>
    <row r="97" s="232" customFormat="1" ht="13.8"/>
    <row r="98" s="232" customFormat="1" ht="13.8"/>
    <row r="99" s="232" customFormat="1" ht="13.8"/>
    <row r="100" s="232" customFormat="1" ht="13.8"/>
    <row r="101" s="232" customFormat="1" ht="13.8"/>
    <row r="102" s="232" customFormat="1" ht="13.8"/>
    <row r="103" s="232" customFormat="1" ht="13.8"/>
    <row r="104" s="232" customFormat="1" ht="13.8"/>
    <row r="105" s="232" customFormat="1" ht="13.8"/>
    <row r="106" s="232" customFormat="1" ht="13.8"/>
    <row r="107" s="232" customFormat="1" ht="13.8"/>
    <row r="108" s="232" customFormat="1" ht="13.8"/>
    <row r="109" s="232" customFormat="1" ht="13.8"/>
    <row r="110" s="232" customFormat="1" ht="13.8"/>
    <row r="111" s="232" customFormat="1" ht="13.8"/>
    <row r="112" s="232" customFormat="1" ht="13.8"/>
    <row r="113" spans="1:10" s="232" customFormat="1" ht="13.8"/>
    <row r="114" spans="1:10" s="232" customFormat="1" ht="13.8"/>
    <row r="115" spans="1:10" s="232" customFormat="1" ht="13.8"/>
    <row r="116" spans="1:10" s="232" customFormat="1" ht="13.8"/>
    <row r="117" spans="1:10" s="232" customFormat="1" ht="13.8"/>
    <row r="118" spans="1:10" s="232" customFormat="1" ht="13.8"/>
    <row r="119" spans="1:10" s="232" customFormat="1" ht="13.8"/>
    <row r="120" spans="1:10" ht="13.8">
      <c r="A120" s="232"/>
      <c r="B120" s="232"/>
      <c r="C120" s="232"/>
      <c r="D120" s="232"/>
      <c r="E120" s="232"/>
      <c r="F120" s="232"/>
      <c r="G120" s="232"/>
      <c r="H120" s="232"/>
      <c r="I120" s="232"/>
      <c r="J120" s="232"/>
    </row>
    <row r="121" spans="1:10" ht="13.8">
      <c r="A121" s="232"/>
      <c r="B121" s="232"/>
      <c r="C121" s="232"/>
      <c r="D121" s="232"/>
      <c r="E121" s="232"/>
      <c r="F121" s="232"/>
      <c r="G121" s="232"/>
      <c r="H121" s="232"/>
      <c r="I121" s="232"/>
      <c r="J121" s="232"/>
    </row>
    <row r="122" spans="1:10" ht="13.8">
      <c r="A122" s="232"/>
      <c r="B122" s="232"/>
      <c r="C122" s="232"/>
      <c r="D122" s="232"/>
      <c r="E122" s="232"/>
      <c r="F122" s="232"/>
      <c r="G122" s="232"/>
      <c r="H122" s="232"/>
      <c r="I122" s="232"/>
      <c r="J122" s="232"/>
    </row>
    <row r="123" spans="1:10" ht="13.8">
      <c r="A123" s="232"/>
      <c r="B123" s="232"/>
      <c r="C123" s="232"/>
      <c r="D123" s="232"/>
      <c r="E123" s="232"/>
      <c r="F123" s="232"/>
      <c r="G123" s="232"/>
      <c r="H123" s="232"/>
      <c r="I123" s="232"/>
      <c r="J123" s="232"/>
    </row>
    <row r="124" spans="1:10" ht="13.8">
      <c r="A124" s="232"/>
      <c r="B124" s="232"/>
      <c r="C124" s="232"/>
      <c r="D124" s="232"/>
      <c r="E124" s="232"/>
      <c r="F124" s="232"/>
      <c r="G124" s="232"/>
      <c r="H124" s="232"/>
      <c r="I124" s="232"/>
      <c r="J124" s="232"/>
    </row>
    <row r="125" spans="1:10" ht="13.8">
      <c r="A125" s="232"/>
      <c r="B125" s="232"/>
      <c r="C125" s="232"/>
      <c r="D125" s="232"/>
      <c r="E125" s="232"/>
      <c r="F125" s="232"/>
      <c r="G125" s="232"/>
      <c r="H125" s="232"/>
      <c r="I125" s="232"/>
      <c r="J125" s="232"/>
    </row>
    <row r="126" spans="1:10" ht="13.8">
      <c r="A126" s="232"/>
      <c r="B126" s="232"/>
      <c r="C126" s="232"/>
      <c r="D126" s="232"/>
      <c r="E126" s="232"/>
      <c r="F126" s="232"/>
      <c r="G126" s="232"/>
      <c r="H126" s="232"/>
      <c r="I126" s="232"/>
      <c r="J126" s="232"/>
    </row>
    <row r="127" spans="1:10" ht="13.8">
      <c r="A127" s="232"/>
      <c r="B127" s="232"/>
      <c r="C127" s="232"/>
      <c r="D127" s="232"/>
    </row>
    <row r="128" spans="1:10" ht="13.8">
      <c r="A128" s="232"/>
      <c r="B128" s="232"/>
      <c r="C128" s="232"/>
      <c r="D128" s="232"/>
    </row>
    <row r="129" spans="1:4" ht="13.8">
      <c r="A129" s="232"/>
      <c r="B129" s="232"/>
      <c r="C129" s="232"/>
      <c r="D129" s="232"/>
    </row>
    <row r="130" spans="1:4" ht="13.8">
      <c r="A130" s="232"/>
      <c r="B130" s="232"/>
      <c r="C130" s="232"/>
      <c r="D130" s="232"/>
    </row>
    <row r="131" spans="1:4" ht="13.8">
      <c r="A131" s="232"/>
      <c r="B131" s="232"/>
      <c r="C131" s="232"/>
      <c r="D131" s="232"/>
    </row>
    <row r="132" spans="1:4" ht="13.8">
      <c r="A132" s="232"/>
      <c r="B132" s="232"/>
      <c r="C132" s="232"/>
      <c r="D132" s="232"/>
    </row>
    <row r="133" spans="1:4" ht="13.8">
      <c r="A133" s="232"/>
      <c r="B133" s="232"/>
      <c r="C133" s="232"/>
      <c r="D133" s="232"/>
    </row>
  </sheetData>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3"/>
  <sheetViews>
    <sheetView view="pageBreakPreview" topLeftCell="A81" zoomScaleSheetLayoutView="100" workbookViewId="0">
      <selection activeCell="A3" sqref="A3:H3"/>
    </sheetView>
  </sheetViews>
  <sheetFormatPr defaultColWidth="8.77734375" defaultRowHeight="14.4"/>
  <cols>
    <col min="1" max="1" width="13.33203125" customWidth="1"/>
    <col min="2" max="3" width="11.33203125" customWidth="1"/>
    <col min="4" max="6" width="9.77734375" customWidth="1"/>
    <col min="7" max="7" width="12.6640625" customWidth="1"/>
    <col min="8" max="8" width="12.109375" customWidth="1"/>
    <col min="9" max="9" width="9.6640625" customWidth="1"/>
    <col min="10" max="10" width="20" customWidth="1"/>
    <col min="11" max="11" width="9.6640625" bestFit="1" customWidth="1"/>
  </cols>
  <sheetData>
    <row r="1" spans="1:20" ht="30" customHeight="1" thickBot="1">
      <c r="A1" s="1983" t="s">
        <v>125</v>
      </c>
      <c r="B1" s="1984"/>
      <c r="C1" s="1984"/>
      <c r="D1" s="1984"/>
      <c r="E1" s="1984"/>
      <c r="F1" s="1984"/>
      <c r="G1" s="1984"/>
      <c r="H1" s="1985"/>
      <c r="I1" s="2000"/>
      <c r="J1" s="2001"/>
    </row>
    <row r="2" spans="1:20" ht="12" customHeight="1" thickBot="1">
      <c r="A2" s="1999"/>
      <c r="B2" s="1999"/>
      <c r="C2" s="1999"/>
      <c r="D2" s="1999"/>
      <c r="E2" s="1999"/>
      <c r="F2" s="1999"/>
      <c r="G2" s="1999"/>
      <c r="H2" s="1999"/>
      <c r="I2" s="1999"/>
      <c r="J2" s="1999"/>
      <c r="K2" s="2"/>
      <c r="L2" s="2"/>
      <c r="M2" s="2"/>
    </row>
    <row r="3" spans="1:20" ht="25.95" customHeight="1" thickBot="1">
      <c r="A3" s="1108" t="s">
        <v>510</v>
      </c>
      <c r="B3" s="1109"/>
      <c r="C3" s="1109"/>
      <c r="D3" s="1109"/>
      <c r="E3" s="1109"/>
      <c r="F3" s="1109"/>
      <c r="G3" s="1109"/>
      <c r="H3" s="1178"/>
      <c r="I3" s="2002"/>
      <c r="J3" s="1608"/>
      <c r="K3" s="2"/>
    </row>
    <row r="4" spans="1:20" ht="21" customHeight="1" thickBot="1">
      <c r="A4" s="86"/>
      <c r="B4" s="1117" t="s">
        <v>37</v>
      </c>
      <c r="C4" s="1118"/>
      <c r="D4" s="1118"/>
      <c r="E4" s="1118"/>
      <c r="F4" s="1118"/>
      <c r="G4" s="1118"/>
      <c r="H4" s="1119"/>
      <c r="I4" s="2002"/>
      <c r="J4" s="1608"/>
      <c r="K4" s="2"/>
    </row>
    <row r="5" spans="1:20" ht="15" customHeight="1">
      <c r="A5" s="1957"/>
      <c r="B5" s="1471" t="s">
        <v>34</v>
      </c>
      <c r="C5" s="1400"/>
      <c r="D5" s="1471" t="s">
        <v>102</v>
      </c>
      <c r="E5" s="1400"/>
      <c r="F5" s="1471" t="s">
        <v>103</v>
      </c>
      <c r="G5" s="1400"/>
      <c r="H5" s="1961" t="s">
        <v>104</v>
      </c>
      <c r="I5" s="2002"/>
      <c r="J5" s="1608"/>
      <c r="K5" s="2"/>
    </row>
    <row r="6" spans="1:20" ht="33.75" customHeight="1" thickBot="1">
      <c r="A6" s="1958"/>
      <c r="B6" s="1959"/>
      <c r="C6" s="1960"/>
      <c r="D6" s="1959"/>
      <c r="E6" s="1960"/>
      <c r="F6" s="1959"/>
      <c r="G6" s="1960"/>
      <c r="H6" s="1962"/>
      <c r="I6" s="2002"/>
      <c r="J6" s="1608"/>
      <c r="K6" s="2"/>
    </row>
    <row r="7" spans="1:20" ht="16.95" customHeight="1">
      <c r="A7" s="87" t="s">
        <v>35</v>
      </c>
      <c r="B7" s="2004">
        <v>99</v>
      </c>
      <c r="C7" s="2005"/>
      <c r="D7" s="2004">
        <v>66</v>
      </c>
      <c r="E7" s="2005"/>
      <c r="F7" s="1986">
        <v>33</v>
      </c>
      <c r="G7" s="1986"/>
      <c r="H7" s="127">
        <v>0</v>
      </c>
      <c r="I7" s="2002"/>
      <c r="J7" s="1608"/>
      <c r="K7" s="2"/>
    </row>
    <row r="8" spans="1:20" ht="16.95" customHeight="1" thickBot="1">
      <c r="A8" s="88" t="s">
        <v>36</v>
      </c>
      <c r="B8" s="1987">
        <v>198</v>
      </c>
      <c r="C8" s="1988"/>
      <c r="D8" s="2006">
        <v>132</v>
      </c>
      <c r="E8" s="2007"/>
      <c r="F8" s="1963">
        <v>66</v>
      </c>
      <c r="G8" s="1963"/>
      <c r="H8" s="128">
        <v>0</v>
      </c>
      <c r="I8" s="2002"/>
      <c r="J8" s="1608"/>
      <c r="K8" s="2"/>
    </row>
    <row r="9" spans="1:20" ht="16.95" customHeight="1" thickBot="1">
      <c r="A9" s="89" t="s">
        <v>22</v>
      </c>
      <c r="B9" s="1989">
        <f>SUM(B7:C8)</f>
        <v>297</v>
      </c>
      <c r="C9" s="1989"/>
      <c r="D9" s="2008">
        <f>SUM(D7:E8)</f>
        <v>198</v>
      </c>
      <c r="E9" s="2009"/>
      <c r="F9" s="1989">
        <f>SUM(F7:G8)</f>
        <v>99</v>
      </c>
      <c r="G9" s="1989"/>
      <c r="H9" s="129">
        <f>SUM(H7:I8)</f>
        <v>0</v>
      </c>
      <c r="I9" s="2002"/>
      <c r="J9" s="1608"/>
      <c r="K9" s="130"/>
    </row>
    <row r="10" spans="1:20" ht="16.95" customHeight="1">
      <c r="A10" s="2003" t="s">
        <v>471</v>
      </c>
      <c r="B10" s="2003"/>
      <c r="C10" s="2003"/>
      <c r="D10" s="2003"/>
      <c r="E10" s="2003"/>
      <c r="F10" s="2003"/>
      <c r="G10" s="2003"/>
      <c r="H10" s="2003"/>
      <c r="I10" s="976"/>
      <c r="J10" s="976"/>
      <c r="K10" s="6"/>
      <c r="L10" s="2"/>
      <c r="M10" s="130"/>
    </row>
    <row r="11" spans="1:20" ht="16.05" customHeight="1" thickBot="1">
      <c r="A11" s="1999"/>
      <c r="B11" s="1999"/>
      <c r="C11" s="1999"/>
      <c r="D11" s="1999"/>
      <c r="E11" s="1999"/>
      <c r="F11" s="1999"/>
      <c r="G11" s="1999"/>
      <c r="H11" s="1999"/>
      <c r="I11" s="1999"/>
      <c r="J11" s="1999"/>
      <c r="K11" s="2"/>
      <c r="L11" s="2"/>
      <c r="M11" s="2"/>
    </row>
    <row r="12" spans="1:20" s="2" customFormat="1" ht="25.95" customHeight="1" thickBot="1">
      <c r="A12" s="1991" t="s">
        <v>64</v>
      </c>
      <c r="B12" s="1992"/>
      <c r="C12" s="1992"/>
      <c r="D12" s="1992"/>
      <c r="E12" s="1992"/>
      <c r="F12" s="1992"/>
      <c r="G12" s="1992"/>
      <c r="H12" s="1993"/>
      <c r="M12" s="16"/>
      <c r="N12" s="16"/>
      <c r="O12" s="16"/>
      <c r="P12" s="16"/>
      <c r="Q12" s="16"/>
      <c r="R12" s="16"/>
      <c r="S12" s="16"/>
      <c r="T12" s="16"/>
    </row>
    <row r="13" spans="1:20" s="2" customFormat="1" ht="21" customHeight="1" thickBot="1">
      <c r="A13" s="1994" t="s">
        <v>203</v>
      </c>
      <c r="B13" s="1995"/>
      <c r="C13" s="1995"/>
      <c r="D13" s="1995"/>
      <c r="E13" s="1995"/>
      <c r="F13" s="1995"/>
      <c r="G13" s="1996"/>
      <c r="H13" s="102" t="s">
        <v>63</v>
      </c>
      <c r="M13" s="16"/>
      <c r="N13" s="16"/>
      <c r="O13" s="16"/>
      <c r="P13" s="16"/>
      <c r="Q13" s="16"/>
      <c r="R13" s="16"/>
      <c r="S13" s="16"/>
      <c r="T13" s="16"/>
    </row>
    <row r="14" spans="1:20" s="2" customFormat="1" ht="16.95" customHeight="1" thickBot="1">
      <c r="A14" s="2018" t="s">
        <v>65</v>
      </c>
      <c r="B14" s="2019"/>
      <c r="C14" s="2019"/>
      <c r="D14" s="2019"/>
      <c r="E14" s="2019"/>
      <c r="F14" s="2019"/>
      <c r="G14" s="2020"/>
      <c r="H14" s="103">
        <v>108.35</v>
      </c>
      <c r="M14" s="16"/>
      <c r="N14" s="16"/>
      <c r="O14" s="16"/>
      <c r="P14" s="16"/>
      <c r="Q14" s="16"/>
      <c r="R14" s="16"/>
      <c r="S14" s="16"/>
      <c r="T14" s="16"/>
    </row>
    <row r="15" spans="1:20" s="2" customFormat="1" ht="21" customHeight="1" thickBot="1">
      <c r="A15" s="2021" t="s">
        <v>445</v>
      </c>
      <c r="B15" s="2022"/>
      <c r="C15" s="2022"/>
      <c r="D15" s="2022"/>
      <c r="E15" s="2022"/>
      <c r="F15" s="2022"/>
      <c r="G15" s="2023"/>
      <c r="H15" s="104" t="s">
        <v>89</v>
      </c>
      <c r="M15" s="16"/>
      <c r="N15" s="16"/>
      <c r="O15" s="16"/>
      <c r="P15" s="16"/>
      <c r="Q15" s="16"/>
      <c r="R15" s="16"/>
      <c r="S15" s="16"/>
      <c r="T15" s="16"/>
    </row>
    <row r="16" spans="1:20" s="2" customFormat="1" ht="16.05" customHeight="1">
      <c r="A16" s="2024" t="s">
        <v>501</v>
      </c>
      <c r="B16" s="2025"/>
      <c r="C16" s="2025"/>
      <c r="D16" s="2025"/>
      <c r="E16" s="2025"/>
      <c r="F16" s="2025"/>
      <c r="G16" s="2026"/>
      <c r="H16" s="2030">
        <v>176.5</v>
      </c>
      <c r="M16" s="16"/>
      <c r="N16" s="16"/>
      <c r="O16" s="16"/>
      <c r="P16" s="16"/>
      <c r="Q16" s="16"/>
      <c r="R16" s="16"/>
      <c r="S16" s="16"/>
      <c r="T16" s="16"/>
    </row>
    <row r="17" spans="1:20" s="2" customFormat="1" ht="46.95" customHeight="1" thickBot="1">
      <c r="A17" s="2027"/>
      <c r="B17" s="2028"/>
      <c r="C17" s="2028"/>
      <c r="D17" s="2028"/>
      <c r="E17" s="2028"/>
      <c r="F17" s="2028"/>
      <c r="G17" s="2029"/>
      <c r="H17" s="2031"/>
      <c r="M17" s="16"/>
      <c r="N17" s="16"/>
      <c r="O17" s="16"/>
      <c r="P17" s="16"/>
      <c r="Q17" s="16"/>
      <c r="R17" s="16"/>
      <c r="S17" s="16"/>
      <c r="T17" s="16"/>
    </row>
    <row r="18" spans="1:20" s="2" customFormat="1" ht="16.05" customHeight="1" thickBot="1">
      <c r="A18" s="20"/>
      <c r="B18" s="20"/>
      <c r="C18" s="20"/>
      <c r="D18" s="20"/>
      <c r="E18" s="20"/>
      <c r="F18" s="20"/>
      <c r="G18" s="20"/>
      <c r="H18" s="20"/>
      <c r="M18" s="16"/>
      <c r="N18" s="16"/>
      <c r="O18" s="16"/>
      <c r="P18" s="16"/>
      <c r="Q18" s="16"/>
      <c r="R18" s="16"/>
      <c r="S18" s="16"/>
      <c r="T18" s="16"/>
    </row>
    <row r="19" spans="1:20" ht="25.95" customHeight="1" thickBot="1">
      <c r="A19" s="1108" t="s">
        <v>266</v>
      </c>
      <c r="B19" s="1109"/>
      <c r="C19" s="1109"/>
      <c r="D19" s="1109"/>
      <c r="E19" s="1109"/>
      <c r="F19" s="1109"/>
      <c r="G19" s="1109"/>
      <c r="H19" s="1178"/>
      <c r="I19" s="20"/>
      <c r="J19" s="20"/>
      <c r="K19" s="2"/>
      <c r="L19" s="2"/>
      <c r="M19" s="2"/>
    </row>
    <row r="20" spans="1:20" ht="24" customHeight="1">
      <c r="A20" s="2037" t="s">
        <v>38</v>
      </c>
      <c r="B20" s="1471" t="s">
        <v>42</v>
      </c>
      <c r="C20" s="1990"/>
      <c r="D20" s="1400"/>
      <c r="E20" s="1471" t="s">
        <v>42</v>
      </c>
      <c r="F20" s="1990"/>
      <c r="G20" s="1990"/>
      <c r="H20" s="1400"/>
      <c r="I20" s="17"/>
      <c r="J20" s="17"/>
      <c r="K20" s="17"/>
      <c r="L20" s="2"/>
      <c r="M20" s="2"/>
      <c r="N20" s="2"/>
    </row>
    <row r="21" spans="1:20" ht="15" thickBot="1">
      <c r="A21" s="1958"/>
      <c r="B21" s="2015">
        <v>40999</v>
      </c>
      <c r="C21" s="2016"/>
      <c r="D21" s="2017"/>
      <c r="E21" s="2015" t="str">
        <f>'Løntabel gældende fra'!$D$1</f>
        <v>01-11-2025</v>
      </c>
      <c r="F21" s="2016"/>
      <c r="G21" s="2016"/>
      <c r="H21" s="2017"/>
      <c r="I21" s="2014"/>
      <c r="J21" s="2014"/>
      <c r="K21" s="2014"/>
      <c r="L21" s="2"/>
      <c r="M21" s="2"/>
      <c r="N21" s="2"/>
    </row>
    <row r="22" spans="1:20" ht="16.95" customHeight="1">
      <c r="A22" s="82" t="s">
        <v>39</v>
      </c>
      <c r="B22" s="2043">
        <v>6000</v>
      </c>
      <c r="C22" s="2044"/>
      <c r="D22" s="2045"/>
      <c r="E22" s="2038">
        <f>ROUND(B22+B22*'Løntabel gældende fra'!$D$7%,2)</f>
        <v>7494.76</v>
      </c>
      <c r="F22" s="2038"/>
      <c r="G22" s="2038"/>
      <c r="H22" s="2039"/>
      <c r="I22" s="2014"/>
      <c r="J22" s="2014"/>
      <c r="K22" s="2014"/>
      <c r="L22" s="2"/>
      <c r="M22" s="2"/>
      <c r="N22" s="2"/>
    </row>
    <row r="23" spans="1:20" ht="16.95" customHeight="1">
      <c r="A23" s="83" t="s">
        <v>40</v>
      </c>
      <c r="B23" s="2046">
        <v>7600</v>
      </c>
      <c r="C23" s="2047"/>
      <c r="D23" s="2048"/>
      <c r="E23" s="2041">
        <f>ROUND(B23+B23*'Løntabel gældende fra'!$D$7%,2)</f>
        <v>9493.36</v>
      </c>
      <c r="F23" s="2041"/>
      <c r="G23" s="2041"/>
      <c r="H23" s="2042"/>
      <c r="I23" s="2040"/>
      <c r="J23" s="2040"/>
      <c r="K23" s="24"/>
      <c r="L23" s="2"/>
      <c r="M23" s="2"/>
      <c r="N23" s="2"/>
    </row>
    <row r="24" spans="1:20" ht="16.95" customHeight="1" thickBot="1">
      <c r="A24" s="84" t="s">
        <v>41</v>
      </c>
      <c r="B24" s="2051">
        <v>9000</v>
      </c>
      <c r="C24" s="2052"/>
      <c r="D24" s="2053"/>
      <c r="E24" s="2049">
        <f>ROUND(B24+B24*'Løntabel gældende fra'!$D$7%,2)</f>
        <v>11242.13</v>
      </c>
      <c r="F24" s="2049"/>
      <c r="G24" s="2049"/>
      <c r="H24" s="2050"/>
      <c r="I24" s="2036"/>
      <c r="J24" s="2036"/>
      <c r="K24" s="25"/>
      <c r="L24" s="2"/>
      <c r="M24" s="2"/>
      <c r="N24" s="2"/>
    </row>
    <row r="25" spans="1:20" ht="13.95" customHeight="1" thickBot="1">
      <c r="A25" s="2"/>
      <c r="B25" s="2"/>
      <c r="C25" s="2"/>
      <c r="D25" s="2"/>
      <c r="E25" s="2"/>
      <c r="F25" s="2"/>
      <c r="G25" s="2"/>
      <c r="H25" s="2"/>
      <c r="I25" s="2036"/>
      <c r="J25" s="2036"/>
      <c r="K25" s="25"/>
      <c r="L25" s="2"/>
      <c r="M25" s="2"/>
      <c r="N25" s="2"/>
    </row>
    <row r="26" spans="1:20" ht="25.95" customHeight="1" thickBot="1">
      <c r="A26" s="1108" t="s">
        <v>354</v>
      </c>
      <c r="B26" s="1109"/>
      <c r="C26" s="1109"/>
      <c r="D26" s="1109"/>
      <c r="E26" s="1109"/>
      <c r="F26" s="1109"/>
      <c r="G26" s="1109"/>
      <c r="H26" s="1178"/>
      <c r="I26" s="2"/>
      <c r="J26" s="2"/>
      <c r="K26" s="2"/>
      <c r="L26" s="2"/>
      <c r="M26" s="2"/>
    </row>
    <row r="27" spans="1:20" ht="18.75" customHeight="1" thickBot="1">
      <c r="A27" s="2071" t="str">
        <f>'Forside 1'!A6</f>
        <v>Gældende fra 1. november 2025</v>
      </c>
      <c r="B27" s="2072"/>
      <c r="C27" s="2072"/>
      <c r="D27" s="2073"/>
      <c r="E27" s="1104" t="s">
        <v>130</v>
      </c>
      <c r="F27" s="1105"/>
      <c r="G27" s="1945" t="s">
        <v>131</v>
      </c>
      <c r="H27" s="1947"/>
      <c r="I27" s="200"/>
      <c r="J27" s="2"/>
      <c r="K27" s="2"/>
      <c r="L27" s="2"/>
      <c r="M27" s="2"/>
    </row>
    <row r="28" spans="1:20" ht="61.95" customHeight="1" thickBot="1">
      <c r="A28" s="2074"/>
      <c r="B28" s="2075"/>
      <c r="C28" s="2075"/>
      <c r="D28" s="2076"/>
      <c r="E28" s="529" t="s">
        <v>357</v>
      </c>
      <c r="F28" s="529" t="s">
        <v>295</v>
      </c>
      <c r="G28" s="500" t="s">
        <v>357</v>
      </c>
      <c r="H28" s="530" t="s">
        <v>295</v>
      </c>
      <c r="I28" s="562"/>
      <c r="J28" s="562"/>
      <c r="K28" s="26"/>
      <c r="L28" s="2"/>
      <c r="M28" s="2"/>
      <c r="N28" s="2"/>
    </row>
    <row r="29" spans="1:20" ht="16.95" customHeight="1">
      <c r="A29" s="1948" t="s">
        <v>132</v>
      </c>
      <c r="B29" s="1949"/>
      <c r="C29" s="1949"/>
      <c r="D29" s="561"/>
      <c r="E29" s="531">
        <v>513</v>
      </c>
      <c r="F29" s="196">
        <f t="shared" ref="F29:F34" si="0">ROUND(E29/24,2)</f>
        <v>21.38</v>
      </c>
      <c r="G29" s="264">
        <v>597</v>
      </c>
      <c r="H29" s="535">
        <f t="shared" ref="H29:H34" si="1">ROUND(G29/24,2)</f>
        <v>24.88</v>
      </c>
      <c r="I29" s="562"/>
      <c r="J29" s="562"/>
      <c r="K29" s="26"/>
      <c r="L29" s="2"/>
      <c r="M29" s="2"/>
      <c r="N29" s="2"/>
    </row>
    <row r="30" spans="1:20" ht="16.95" customHeight="1">
      <c r="A30" s="2069" t="s">
        <v>298</v>
      </c>
      <c r="B30" s="2070"/>
      <c r="C30" s="2070"/>
      <c r="D30" s="560"/>
      <c r="E30" s="532">
        <f>(E29*15)/100</f>
        <v>76.95</v>
      </c>
      <c r="F30" s="197">
        <f t="shared" si="0"/>
        <v>3.21</v>
      </c>
      <c r="G30" s="265">
        <f>(G29*15)/100</f>
        <v>89.55</v>
      </c>
      <c r="H30" s="536">
        <f t="shared" si="1"/>
        <v>3.73</v>
      </c>
      <c r="I30" s="195"/>
      <c r="K30" s="46"/>
      <c r="L30" s="2"/>
      <c r="M30" s="2"/>
      <c r="N30" s="2"/>
    </row>
    <row r="31" spans="1:20" ht="16.95" customHeight="1">
      <c r="A31" s="2069" t="s">
        <v>299</v>
      </c>
      <c r="B31" s="2070"/>
      <c r="C31" s="2070"/>
      <c r="D31" s="560"/>
      <c r="E31" s="532">
        <f>(E29*30)/100</f>
        <v>153.9</v>
      </c>
      <c r="F31" s="197">
        <f t="shared" si="0"/>
        <v>6.41</v>
      </c>
      <c r="G31" s="266">
        <f>(G29*30)/100</f>
        <v>179.1</v>
      </c>
      <c r="H31" s="536">
        <f t="shared" si="1"/>
        <v>7.46</v>
      </c>
      <c r="I31" s="195"/>
      <c r="K31" s="47"/>
      <c r="L31" s="268"/>
      <c r="M31" s="2"/>
      <c r="N31" s="2"/>
    </row>
    <row r="32" spans="1:20" ht="16.95" customHeight="1">
      <c r="A32" s="2069" t="s">
        <v>300</v>
      </c>
      <c r="B32" s="2070"/>
      <c r="C32" s="2070"/>
      <c r="D32" s="560"/>
      <c r="E32" s="532">
        <f>(E29*30)/100</f>
        <v>153.9</v>
      </c>
      <c r="F32" s="197">
        <f t="shared" si="0"/>
        <v>6.41</v>
      </c>
      <c r="G32" s="267">
        <f>(G29*30)/100</f>
        <v>179.1</v>
      </c>
      <c r="H32" s="536">
        <f t="shared" si="1"/>
        <v>7.46</v>
      </c>
      <c r="I32" s="195"/>
      <c r="K32" s="48"/>
      <c r="L32" s="2"/>
      <c r="M32" s="2"/>
      <c r="N32" s="2"/>
    </row>
    <row r="33" spans="1:14" ht="16.95" customHeight="1">
      <c r="A33" s="2069" t="s">
        <v>301</v>
      </c>
      <c r="B33" s="2070"/>
      <c r="C33" s="2070"/>
      <c r="D33" s="560"/>
      <c r="E33" s="532">
        <f>(E29*75)/100</f>
        <v>384.75</v>
      </c>
      <c r="F33" s="197">
        <f t="shared" si="0"/>
        <v>16.03</v>
      </c>
      <c r="G33" s="266">
        <f>(G29*75)/100</f>
        <v>447.75</v>
      </c>
      <c r="H33" s="536">
        <f t="shared" si="1"/>
        <v>18.66</v>
      </c>
      <c r="I33" s="195"/>
      <c r="K33" s="49"/>
      <c r="L33" s="2"/>
      <c r="M33" s="2"/>
      <c r="N33" s="2"/>
    </row>
    <row r="34" spans="1:14" ht="16.95" customHeight="1" thickBot="1">
      <c r="A34" s="2081" t="s">
        <v>58</v>
      </c>
      <c r="B34" s="2082"/>
      <c r="C34" s="2082"/>
      <c r="D34" s="499"/>
      <c r="E34" s="533">
        <f>E29-E33</f>
        <v>128.25</v>
      </c>
      <c r="F34" s="198">
        <f t="shared" si="0"/>
        <v>5.34</v>
      </c>
      <c r="G34" s="449">
        <f>G29-G33</f>
        <v>149.25</v>
      </c>
      <c r="H34" s="537">
        <f t="shared" si="1"/>
        <v>6.22</v>
      </c>
      <c r="I34" s="195"/>
      <c r="K34" s="49"/>
      <c r="L34" s="2"/>
      <c r="M34" s="2"/>
      <c r="N34" s="2"/>
    </row>
    <row r="35" spans="1:14" ht="16.95" customHeight="1" thickBot="1">
      <c r="A35" s="71"/>
      <c r="B35" s="71"/>
      <c r="C35" s="71"/>
      <c r="D35" s="91"/>
      <c r="E35" s="91"/>
      <c r="F35" s="91"/>
      <c r="G35" s="534"/>
      <c r="H35" s="195"/>
      <c r="I35" s="195"/>
      <c r="K35" s="49"/>
      <c r="L35" s="2"/>
      <c r="M35" s="2"/>
      <c r="N35" s="2"/>
    </row>
    <row r="36" spans="1:14" ht="25.95" customHeight="1" thickBot="1">
      <c r="A36" s="1108" t="s">
        <v>59</v>
      </c>
      <c r="B36" s="1109"/>
      <c r="C36" s="1109"/>
      <c r="D36" s="1109"/>
      <c r="E36" s="1109"/>
      <c r="F36" s="1109"/>
      <c r="G36" s="1109"/>
      <c r="H36" s="1178"/>
      <c r="J36" s="2"/>
      <c r="K36" s="2"/>
      <c r="L36" s="2"/>
      <c r="M36" s="2"/>
    </row>
    <row r="37" spans="1:14" ht="24" customHeight="1">
      <c r="A37" s="1954" t="s">
        <v>507</v>
      </c>
      <c r="B37" s="1955"/>
      <c r="C37" s="1955"/>
      <c r="D37" s="1955"/>
      <c r="E37" s="1955"/>
      <c r="F37" s="1955"/>
      <c r="G37" s="1956"/>
      <c r="H37" s="105" t="s">
        <v>63</v>
      </c>
      <c r="I37" s="524"/>
      <c r="J37" s="524"/>
      <c r="K37" s="2"/>
      <c r="L37" s="2"/>
      <c r="M37" s="2"/>
    </row>
    <row r="38" spans="1:14" ht="17.25" customHeight="1">
      <c r="A38" s="2032" t="s">
        <v>129</v>
      </c>
      <c r="B38" s="2033"/>
      <c r="C38" s="2033"/>
      <c r="D38" s="2033"/>
      <c r="E38" s="501"/>
      <c r="F38" s="501"/>
      <c r="G38" s="501"/>
      <c r="H38" s="106">
        <v>2.23</v>
      </c>
      <c r="I38" s="559"/>
      <c r="J38" s="524"/>
      <c r="K38" s="524"/>
      <c r="L38" s="2"/>
      <c r="M38" s="2"/>
      <c r="N38" s="2"/>
    </row>
    <row r="39" spans="1:14" ht="16.95" customHeight="1" thickBot="1">
      <c r="A39" s="2034" t="s">
        <v>456</v>
      </c>
      <c r="B39" s="2035"/>
      <c r="C39" s="2035"/>
      <c r="D39" s="2035"/>
      <c r="E39" s="502"/>
      <c r="F39" s="502"/>
      <c r="G39" s="502"/>
      <c r="H39" s="107">
        <v>3.81</v>
      </c>
      <c r="I39" s="559"/>
      <c r="J39" s="524"/>
      <c r="K39" s="524"/>
      <c r="L39" s="2"/>
      <c r="M39" s="2"/>
      <c r="N39" s="2"/>
    </row>
    <row r="40" spans="1:14" ht="16.95" customHeight="1">
      <c r="A40" s="2010" t="s">
        <v>469</v>
      </c>
      <c r="B40" s="2010"/>
      <c r="C40" s="2010"/>
      <c r="D40" s="2010"/>
      <c r="E40" s="503"/>
      <c r="F40" s="503"/>
      <c r="G40" s="43"/>
      <c r="H40" s="13"/>
      <c r="I40" s="13"/>
      <c r="J40" s="13"/>
      <c r="K40" s="13"/>
    </row>
    <row r="41" spans="1:14" ht="18" customHeight="1" thickBot="1">
      <c r="A41" s="13"/>
      <c r="B41" s="13"/>
      <c r="C41" s="13"/>
      <c r="D41" s="13"/>
      <c r="E41" s="13"/>
      <c r="F41" s="13"/>
      <c r="G41" s="13"/>
      <c r="H41" s="13"/>
      <c r="I41" s="13"/>
      <c r="J41" s="13"/>
    </row>
    <row r="42" spans="1:14" ht="25.95" customHeight="1" thickBot="1">
      <c r="A42" s="1108" t="s">
        <v>60</v>
      </c>
      <c r="B42" s="1109"/>
      <c r="C42" s="1109"/>
      <c r="D42" s="1109"/>
      <c r="E42" s="1109"/>
      <c r="F42" s="1109"/>
      <c r="G42" s="1109"/>
      <c r="H42" s="1178"/>
      <c r="I42" s="13"/>
      <c r="J42" s="13"/>
    </row>
    <row r="43" spans="1:14" ht="24" customHeight="1" thickBot="1">
      <c r="A43" s="1945" t="str">
        <f>A37</f>
        <v>Gældende fra 1. januar 2025</v>
      </c>
      <c r="B43" s="1946"/>
      <c r="C43" s="1946"/>
      <c r="D43" s="1946"/>
      <c r="E43" s="1946"/>
      <c r="F43" s="1946"/>
      <c r="G43" s="1947"/>
      <c r="H43" s="90" t="s">
        <v>63</v>
      </c>
    </row>
    <row r="44" spans="1:14" ht="19.05" customHeight="1">
      <c r="A44" s="1948" t="s">
        <v>61</v>
      </c>
      <c r="B44" s="1949"/>
      <c r="C44" s="1949"/>
      <c r="D44" s="1949"/>
      <c r="E44" s="1949"/>
      <c r="F44" s="1949"/>
      <c r="G44" s="1950"/>
      <c r="H44" s="108">
        <v>973</v>
      </c>
    </row>
    <row r="45" spans="1:14" ht="16.95" customHeight="1" thickBot="1">
      <c r="A45" s="1951" t="s">
        <v>62</v>
      </c>
      <c r="B45" s="1952"/>
      <c r="C45" s="1952"/>
      <c r="D45" s="1952"/>
      <c r="E45" s="1952"/>
      <c r="F45" s="1952"/>
      <c r="G45" s="1953"/>
      <c r="H45" s="107">
        <v>649</v>
      </c>
      <c r="I45" s="13"/>
      <c r="J45" s="13"/>
      <c r="K45" s="13"/>
    </row>
    <row r="46" spans="1:14" ht="18" customHeight="1" thickBot="1">
      <c r="A46" s="2080"/>
      <c r="B46" s="2080"/>
      <c r="C46" s="2080"/>
      <c r="D46" s="2080"/>
      <c r="E46" s="2080"/>
      <c r="F46" s="2080"/>
      <c r="G46" s="2080"/>
      <c r="H46" s="2080"/>
      <c r="I46" s="13"/>
      <c r="J46" s="13"/>
    </row>
    <row r="47" spans="1:14" ht="25.95" customHeight="1" thickBot="1">
      <c r="A47" s="1108" t="s">
        <v>423</v>
      </c>
      <c r="B47" s="1109"/>
      <c r="C47" s="1109"/>
      <c r="D47" s="1109"/>
      <c r="E47" s="1109"/>
      <c r="F47" s="1109"/>
      <c r="G47" s="1109"/>
      <c r="H47" s="1178"/>
      <c r="I47" s="13"/>
      <c r="J47" s="13"/>
    </row>
    <row r="48" spans="1:14" ht="24" customHeight="1" thickBot="1">
      <c r="A48" s="1945" t="str">
        <f>A43</f>
        <v>Gældende fra 1. januar 2025</v>
      </c>
      <c r="B48" s="1946"/>
      <c r="C48" s="1946"/>
      <c r="D48" s="1946"/>
      <c r="E48" s="1946"/>
      <c r="F48" s="1946"/>
      <c r="G48" s="1947"/>
      <c r="H48" s="90" t="s">
        <v>63</v>
      </c>
    </row>
    <row r="49" spans="1:16" ht="19.05" customHeight="1">
      <c r="A49" s="1948" t="s">
        <v>422</v>
      </c>
      <c r="B49" s="1949"/>
      <c r="C49" s="1949"/>
      <c r="D49" s="1949"/>
      <c r="E49" s="1949"/>
      <c r="F49" s="1949"/>
      <c r="G49" s="1950"/>
      <c r="H49" s="108">
        <v>973</v>
      </c>
    </row>
    <row r="50" spans="1:16" ht="16.95" customHeight="1" thickBot="1">
      <c r="A50" s="1951" t="s">
        <v>424</v>
      </c>
      <c r="B50" s="1952"/>
      <c r="C50" s="1952"/>
      <c r="D50" s="1952"/>
      <c r="E50" s="1952"/>
      <c r="F50" s="1952"/>
      <c r="G50" s="1953"/>
      <c r="H50" s="107">
        <v>487</v>
      </c>
    </row>
    <row r="51" spans="1:16" ht="16.95" customHeight="1">
      <c r="A51" s="803"/>
      <c r="B51" s="803"/>
      <c r="C51" s="803"/>
      <c r="D51" s="803"/>
      <c r="E51" s="803"/>
      <c r="F51" s="803"/>
      <c r="G51" s="803"/>
      <c r="H51" s="803"/>
    </row>
    <row r="52" spans="1:16" ht="12" customHeight="1" thickBot="1">
      <c r="A52" s="803"/>
      <c r="B52" s="803"/>
      <c r="C52" s="803"/>
      <c r="D52" s="803"/>
      <c r="E52" s="803"/>
      <c r="F52" s="803"/>
      <c r="G52" s="803"/>
    </row>
    <row r="53" spans="1:16" ht="22.05" customHeight="1">
      <c r="A53" s="1099" t="s">
        <v>425</v>
      </c>
      <c r="B53" s="1100"/>
      <c r="C53" s="1100"/>
      <c r="D53" s="1100"/>
      <c r="E53" s="1100"/>
      <c r="F53" s="1100"/>
      <c r="G53" s="1100"/>
      <c r="H53" s="1101"/>
    </row>
    <row r="54" spans="1:16" ht="16.95" customHeight="1" thickBot="1">
      <c r="A54" s="1154" t="s">
        <v>280</v>
      </c>
      <c r="B54" s="1155"/>
      <c r="C54" s="1155"/>
      <c r="D54" s="1155"/>
      <c r="E54" s="1155"/>
      <c r="F54" s="1155"/>
      <c r="G54" s="1155"/>
      <c r="H54" s="1156"/>
      <c r="I54" s="13"/>
      <c r="J54" s="13"/>
    </row>
    <row r="55" spans="1:16" ht="16.95" customHeight="1">
      <c r="A55" s="624"/>
      <c r="B55" s="625"/>
      <c r="C55" s="625"/>
      <c r="D55" s="625"/>
      <c r="E55" s="625"/>
      <c r="F55" s="625"/>
      <c r="G55" s="627" t="s">
        <v>95</v>
      </c>
      <c r="H55" s="626" t="s">
        <v>100</v>
      </c>
      <c r="I55" s="13"/>
      <c r="J55" s="13"/>
      <c r="K55" s="13"/>
    </row>
    <row r="56" spans="1:16" ht="18" customHeight="1" thickBot="1">
      <c r="A56" s="622"/>
      <c r="B56" s="623"/>
      <c r="C56" s="623"/>
      <c r="D56" s="623"/>
      <c r="E56" s="623"/>
      <c r="F56" s="623"/>
      <c r="G56" s="528">
        <v>40999</v>
      </c>
      <c r="H56" s="544" t="str">
        <f>'Løntabel gældende fra'!$D$1</f>
        <v>01-11-2025</v>
      </c>
      <c r="I56" s="563"/>
      <c r="J56" s="563"/>
      <c r="K56" s="563"/>
    </row>
    <row r="57" spans="1:16" ht="16.95" customHeight="1">
      <c r="A57" s="2100" t="s">
        <v>198</v>
      </c>
      <c r="B57" s="2101"/>
      <c r="C57" s="2101"/>
      <c r="D57" s="2101"/>
      <c r="E57" s="2101"/>
      <c r="F57" s="885" t="s">
        <v>162</v>
      </c>
      <c r="G57" s="158">
        <v>22.32</v>
      </c>
      <c r="H57" s="886">
        <f>G57+G57*'Løntabel gældende fra'!$D$7%</f>
        <v>27.880492320000002</v>
      </c>
      <c r="I57" s="563"/>
      <c r="J57" s="563"/>
      <c r="K57" s="563"/>
    </row>
    <row r="58" spans="1:16" ht="16.95" customHeight="1">
      <c r="A58" s="1971" t="s">
        <v>443</v>
      </c>
      <c r="B58" s="1972"/>
      <c r="C58" s="1972"/>
      <c r="D58" s="1972"/>
      <c r="E58" s="1972"/>
      <c r="F58" s="1975" t="s">
        <v>162</v>
      </c>
      <c r="G58" s="1977">
        <v>39.92</v>
      </c>
      <c r="H58" s="1979">
        <f>G58+G58*'Løntabel gældende fra'!$D$7%</f>
        <v>49.865109920000002</v>
      </c>
      <c r="I58" s="1997"/>
      <c r="J58" s="1998"/>
      <c r="K58" s="1998"/>
      <c r="L58" s="1998"/>
      <c r="M58" s="1998"/>
      <c r="N58" s="1998"/>
      <c r="O58" s="1998"/>
      <c r="P58" s="1998"/>
    </row>
    <row r="59" spans="1:16" ht="45" customHeight="1">
      <c r="A59" s="1973"/>
      <c r="B59" s="1974"/>
      <c r="C59" s="1974"/>
      <c r="D59" s="1974"/>
      <c r="E59" s="1974"/>
      <c r="F59" s="1976"/>
      <c r="G59" s="1978"/>
      <c r="H59" s="1980"/>
      <c r="I59" s="1997"/>
      <c r="J59" s="1998"/>
      <c r="K59" s="1998"/>
      <c r="L59" s="1998"/>
      <c r="M59" s="1998"/>
      <c r="N59" s="1998"/>
      <c r="O59" s="1998"/>
      <c r="P59" s="1998"/>
    </row>
    <row r="60" spans="1:16" ht="30.6" customHeight="1">
      <c r="A60" s="1981" t="s">
        <v>215</v>
      </c>
      <c r="B60" s="1982"/>
      <c r="C60" s="1982"/>
      <c r="D60" s="1982"/>
      <c r="E60" s="1982"/>
      <c r="F60" s="884" t="s">
        <v>162</v>
      </c>
      <c r="G60" s="175">
        <v>39.92</v>
      </c>
      <c r="H60" s="811">
        <f>G60+G60*'Løntabel gældende fra'!$D$7%</f>
        <v>49.865109920000002</v>
      </c>
      <c r="I60" s="1997"/>
      <c r="J60" s="1998"/>
      <c r="K60" s="1998"/>
      <c r="L60" s="1998"/>
      <c r="M60" s="1998"/>
      <c r="N60" s="1998"/>
      <c r="O60" s="1998"/>
      <c r="P60" s="1998"/>
    </row>
    <row r="61" spans="1:16" ht="16.95" customHeight="1">
      <c r="A61" s="1967" t="s">
        <v>161</v>
      </c>
      <c r="B61" s="1968"/>
      <c r="C61" s="1968"/>
      <c r="D61" s="1968"/>
      <c r="E61" s="1968"/>
      <c r="F61" s="813" t="s">
        <v>162</v>
      </c>
      <c r="G61" s="175">
        <v>39.92</v>
      </c>
      <c r="H61" s="811">
        <f>G61+G61*'Løntabel gældende fra'!$D$7%</f>
        <v>49.865109920000002</v>
      </c>
      <c r="I61" s="1997"/>
      <c r="J61" s="1998"/>
      <c r="K61" s="1998"/>
      <c r="L61" s="1998"/>
      <c r="M61" s="1998"/>
      <c r="N61" s="1998"/>
      <c r="O61" s="1998"/>
      <c r="P61" s="1998"/>
    </row>
    <row r="62" spans="1:16" ht="16.95" customHeight="1">
      <c r="A62" s="1967" t="s">
        <v>442</v>
      </c>
      <c r="B62" s="1968"/>
      <c r="C62" s="1968"/>
      <c r="D62" s="1968"/>
      <c r="E62" s="1968"/>
      <c r="F62" s="813" t="s">
        <v>162</v>
      </c>
      <c r="G62" s="175">
        <v>6.59</v>
      </c>
      <c r="H62" s="811">
        <f>G62+G62*'Løntabel gældende fra'!$D$7%</f>
        <v>8.23174034</v>
      </c>
      <c r="I62" s="1997"/>
      <c r="J62" s="1998"/>
      <c r="K62" s="1998"/>
      <c r="L62" s="1998"/>
      <c r="M62" s="1998"/>
      <c r="N62" s="1998"/>
      <c r="O62" s="1998"/>
      <c r="P62" s="1998"/>
    </row>
    <row r="63" spans="1:16" ht="16.95" customHeight="1" thickBot="1">
      <c r="A63" s="1969" t="s">
        <v>374</v>
      </c>
      <c r="B63" s="1970"/>
      <c r="C63" s="1970"/>
      <c r="D63" s="1970"/>
      <c r="E63" s="1970"/>
      <c r="F63" s="814" t="s">
        <v>163</v>
      </c>
      <c r="G63" s="159">
        <v>61.22</v>
      </c>
      <c r="H63" s="812">
        <f>G63+G63*'Løntabel gældende fra'!$D$7%</f>
        <v>76.471493719999998</v>
      </c>
      <c r="I63" s="1997"/>
      <c r="J63" s="1998"/>
      <c r="K63" s="1998"/>
      <c r="L63" s="1998"/>
      <c r="M63" s="1998"/>
      <c r="N63" s="1998"/>
      <c r="O63" s="1998"/>
      <c r="P63" s="1998"/>
    </row>
    <row r="64" spans="1:16" ht="16.95" customHeight="1" thickBot="1">
      <c r="A64" s="13"/>
      <c r="B64" s="13"/>
      <c r="C64" s="13"/>
      <c r="D64" s="13"/>
      <c r="E64" s="13"/>
      <c r="F64" s="13"/>
      <c r="G64" s="13"/>
      <c r="H64" s="13"/>
      <c r="I64" s="1997"/>
      <c r="J64" s="1998"/>
      <c r="K64" s="1998"/>
      <c r="L64" s="1998"/>
      <c r="M64" s="1998"/>
      <c r="N64" s="1998"/>
      <c r="O64" s="1998"/>
      <c r="P64" s="1998"/>
    </row>
    <row r="65" spans="1:16" ht="16.95" customHeight="1">
      <c r="A65" s="1254" t="s">
        <v>185</v>
      </c>
      <c r="B65" s="1255"/>
      <c r="C65" s="1255"/>
      <c r="D65" s="1255"/>
      <c r="E65" s="1255"/>
      <c r="F65" s="1255"/>
      <c r="G65" s="1255"/>
      <c r="H65" s="1256"/>
      <c r="I65" s="1997"/>
      <c r="J65" s="1998"/>
      <c r="K65" s="1998"/>
      <c r="L65" s="1998"/>
      <c r="M65" s="1998"/>
      <c r="N65" s="1998"/>
      <c r="O65" s="1998"/>
      <c r="P65" s="1998"/>
    </row>
    <row r="66" spans="1:16" ht="33.6" customHeight="1" thickBot="1">
      <c r="A66" s="2011" t="s">
        <v>294</v>
      </c>
      <c r="B66" s="2012"/>
      <c r="C66" s="2012"/>
      <c r="D66" s="2012"/>
      <c r="E66" s="2012"/>
      <c r="F66" s="2012"/>
      <c r="G66" s="2012"/>
      <c r="H66" s="2013"/>
      <c r="I66" s="1997"/>
      <c r="J66" s="1998"/>
      <c r="K66" s="1998"/>
      <c r="L66" s="1998"/>
      <c r="M66" s="1998"/>
      <c r="N66" s="1998"/>
      <c r="O66" s="1998"/>
      <c r="P66" s="1998"/>
    </row>
    <row r="67" spans="1:16" ht="16.95" customHeight="1">
      <c r="A67" s="1964" t="s">
        <v>27</v>
      </c>
      <c r="B67" s="1965"/>
      <c r="C67" s="1965"/>
      <c r="D67" s="1966"/>
      <c r="E67" s="1964" t="s">
        <v>28</v>
      </c>
      <c r="F67" s="1965"/>
      <c r="G67" s="1965"/>
      <c r="H67" s="1966"/>
      <c r="I67" s="1997"/>
      <c r="J67" s="1998"/>
      <c r="K67" s="1998"/>
      <c r="L67" s="1998"/>
      <c r="M67" s="1998"/>
      <c r="N67" s="1998"/>
      <c r="O67" s="1998"/>
      <c r="P67" s="1998"/>
    </row>
    <row r="68" spans="1:16" ht="16.95" customHeight="1">
      <c r="A68" s="2077">
        <v>40999</v>
      </c>
      <c r="B68" s="2078"/>
      <c r="C68" s="2078"/>
      <c r="D68" s="2079"/>
      <c r="E68" s="2086">
        <v>0</v>
      </c>
      <c r="F68" s="2087"/>
      <c r="G68" s="2087"/>
      <c r="H68" s="2088"/>
      <c r="I68" s="1997"/>
      <c r="J68" s="1998"/>
      <c r="K68" s="1998"/>
      <c r="L68" s="1998"/>
      <c r="M68" s="1998"/>
      <c r="N68" s="1998"/>
      <c r="O68" s="1998"/>
      <c r="P68" s="1998"/>
    </row>
    <row r="69" spans="1:16" ht="16.95" customHeight="1">
      <c r="A69" s="2077">
        <v>41000</v>
      </c>
      <c r="B69" s="2078"/>
      <c r="C69" s="2078"/>
      <c r="D69" s="2079"/>
      <c r="E69" s="2086">
        <v>1.304</v>
      </c>
      <c r="F69" s="2087"/>
      <c r="G69" s="2087"/>
      <c r="H69" s="2088"/>
      <c r="I69" s="678"/>
      <c r="J69" s="678"/>
    </row>
    <row r="70" spans="1:16" ht="16.95" customHeight="1">
      <c r="A70" s="2077">
        <v>41365</v>
      </c>
      <c r="B70" s="2078"/>
      <c r="C70" s="2078"/>
      <c r="D70" s="2079"/>
      <c r="E70" s="2086">
        <v>1.304</v>
      </c>
      <c r="F70" s="2087"/>
      <c r="G70" s="2087"/>
      <c r="H70" s="2088"/>
      <c r="I70" s="17"/>
      <c r="J70" s="17"/>
    </row>
    <row r="71" spans="1:16" ht="16.95" customHeight="1">
      <c r="A71" s="2077">
        <v>41730</v>
      </c>
      <c r="B71" s="2078"/>
      <c r="C71" s="2078"/>
      <c r="D71" s="2079"/>
      <c r="E71" s="2086">
        <v>1.7161999999999999</v>
      </c>
      <c r="F71" s="2087"/>
      <c r="G71" s="2087"/>
      <c r="H71" s="2088"/>
      <c r="I71" s="683"/>
      <c r="J71" s="683"/>
    </row>
    <row r="72" spans="1:16" ht="16.95" customHeight="1">
      <c r="A72" s="2105">
        <v>42095</v>
      </c>
      <c r="B72" s="2106"/>
      <c r="C72" s="2106"/>
      <c r="D72" s="2107"/>
      <c r="E72" s="2086">
        <v>2.1745000000000001</v>
      </c>
      <c r="F72" s="2087"/>
      <c r="G72" s="2087"/>
      <c r="H72" s="2088"/>
      <c r="I72" s="684"/>
      <c r="J72" s="684"/>
    </row>
    <row r="73" spans="1:16" ht="16.95" customHeight="1">
      <c r="A73" s="2077">
        <v>42461</v>
      </c>
      <c r="B73" s="2078"/>
      <c r="C73" s="2078"/>
      <c r="D73" s="2079"/>
      <c r="E73" s="2086">
        <v>2.9882</v>
      </c>
      <c r="F73" s="2087"/>
      <c r="G73" s="2087"/>
      <c r="H73" s="2088"/>
      <c r="I73" s="684"/>
      <c r="J73" s="684"/>
    </row>
    <row r="74" spans="1:16" ht="16.95" customHeight="1">
      <c r="A74" s="2089">
        <v>42826</v>
      </c>
      <c r="B74" s="2090"/>
      <c r="C74" s="2090"/>
      <c r="D74" s="2091"/>
      <c r="E74" s="2086">
        <v>4.2446000000000002</v>
      </c>
      <c r="F74" s="2087"/>
      <c r="G74" s="2087"/>
      <c r="H74" s="2088"/>
      <c r="I74" s="684"/>
      <c r="J74" s="684"/>
    </row>
    <row r="75" spans="1:16" ht="16.95" customHeight="1">
      <c r="A75" s="2077">
        <v>43070</v>
      </c>
      <c r="B75" s="2078"/>
      <c r="C75" s="2078"/>
      <c r="D75" s="2079"/>
      <c r="E75" s="2086">
        <v>5.7702999999999998</v>
      </c>
      <c r="F75" s="2087"/>
      <c r="G75" s="2087"/>
      <c r="H75" s="2088"/>
      <c r="I75" s="684"/>
      <c r="J75" s="684"/>
    </row>
    <row r="76" spans="1:16" ht="16.95" customHeight="1">
      <c r="A76" s="2077">
        <v>43191</v>
      </c>
      <c r="B76" s="2078"/>
      <c r="C76" s="2078"/>
      <c r="D76" s="2079"/>
      <c r="E76" s="2086">
        <v>6.9683000000000002</v>
      </c>
      <c r="F76" s="2087"/>
      <c r="G76" s="2087"/>
      <c r="H76" s="2088"/>
      <c r="I76" s="684"/>
      <c r="J76" s="684"/>
    </row>
    <row r="77" spans="1:16" ht="16.95" customHeight="1">
      <c r="A77" s="2077">
        <v>43374</v>
      </c>
      <c r="B77" s="2078"/>
      <c r="C77" s="2078"/>
      <c r="D77" s="2079"/>
      <c r="E77" s="2086">
        <v>7.4972000000000003</v>
      </c>
      <c r="F77" s="2087"/>
      <c r="G77" s="2087"/>
      <c r="H77" s="2088"/>
      <c r="I77" s="685"/>
      <c r="J77" s="685"/>
    </row>
    <row r="78" spans="1:16" ht="16.95" customHeight="1">
      <c r="A78" s="2077">
        <v>43556</v>
      </c>
      <c r="B78" s="2078"/>
      <c r="C78" s="2078"/>
      <c r="D78" s="2079"/>
      <c r="E78" s="2086">
        <v>8.4910999999999994</v>
      </c>
      <c r="F78" s="2087"/>
      <c r="G78" s="2087"/>
      <c r="H78" s="2088"/>
      <c r="I78" s="683"/>
      <c r="J78" s="683"/>
    </row>
    <row r="79" spans="1:16" ht="16.95" customHeight="1">
      <c r="A79" s="2092">
        <v>43739</v>
      </c>
      <c r="B79" s="2093"/>
      <c r="C79" s="2093"/>
      <c r="D79" s="2094"/>
      <c r="E79" s="2095">
        <v>9.4007000000000005</v>
      </c>
      <c r="F79" s="2096"/>
      <c r="G79" s="2096"/>
      <c r="H79" s="2097"/>
      <c r="I79" s="683"/>
      <c r="J79" s="683"/>
    </row>
    <row r="80" spans="1:16" ht="16.95" customHeight="1">
      <c r="A80" s="2077">
        <v>43922</v>
      </c>
      <c r="B80" s="2078"/>
      <c r="C80" s="2078"/>
      <c r="D80" s="2079"/>
      <c r="E80" s="2086">
        <v>10.323600000000001</v>
      </c>
      <c r="F80" s="2087"/>
      <c r="G80" s="2087"/>
      <c r="H80" s="2088"/>
      <c r="I80" s="683"/>
      <c r="J80" s="683"/>
    </row>
    <row r="81" spans="1:10" ht="16.95" customHeight="1">
      <c r="A81" s="1941">
        <v>44228</v>
      </c>
      <c r="B81" s="1941"/>
      <c r="C81" s="1941"/>
      <c r="D81" s="1941"/>
      <c r="E81" s="2098">
        <v>10.2211</v>
      </c>
      <c r="F81" s="2099"/>
      <c r="G81" s="2099"/>
      <c r="H81" s="2099"/>
      <c r="I81" s="683"/>
      <c r="J81" s="683"/>
    </row>
    <row r="82" spans="1:10" ht="16.95" customHeight="1">
      <c r="A82" s="1941">
        <v>44287</v>
      </c>
      <c r="B82" s="1941"/>
      <c r="C82" s="1941"/>
      <c r="D82" s="1941"/>
      <c r="E82" s="2098">
        <v>11.1029</v>
      </c>
      <c r="F82" s="2099"/>
      <c r="G82" s="2099"/>
      <c r="H82" s="2099"/>
      <c r="I82" s="683"/>
      <c r="J82" s="683"/>
    </row>
    <row r="83" spans="1:10" ht="16.95" customHeight="1">
      <c r="A83" s="1941">
        <v>44470</v>
      </c>
      <c r="B83" s="1941"/>
      <c r="C83" s="1941"/>
      <c r="D83" s="1941"/>
      <c r="E83" s="1942">
        <v>11.4336</v>
      </c>
      <c r="F83" s="1943"/>
      <c r="G83" s="1943"/>
      <c r="H83" s="1944"/>
      <c r="I83" s="683"/>
      <c r="J83" s="683"/>
    </row>
    <row r="84" spans="1:10" ht="16.95" customHeight="1">
      <c r="A84" s="1941">
        <v>44652</v>
      </c>
      <c r="B84" s="1941"/>
      <c r="C84" s="1941"/>
      <c r="D84" s="1941"/>
      <c r="E84" s="1942">
        <v>13.410399999999999</v>
      </c>
      <c r="F84" s="1943"/>
      <c r="G84" s="1943"/>
      <c r="H84" s="1944"/>
      <c r="I84" s="683"/>
      <c r="J84" s="683"/>
    </row>
    <row r="85" spans="1:10" ht="16.95" customHeight="1">
      <c r="A85" s="1941">
        <v>44835</v>
      </c>
      <c r="B85" s="1941"/>
      <c r="C85" s="1941"/>
      <c r="D85" s="1941"/>
      <c r="E85" s="1942">
        <v>13.741099999999999</v>
      </c>
      <c r="F85" s="1943"/>
      <c r="G85" s="1943"/>
      <c r="H85" s="1944"/>
      <c r="I85" s="683"/>
      <c r="J85" s="683"/>
    </row>
    <row r="86" spans="1:10" ht="16.95" customHeight="1">
      <c r="A86" s="2077">
        <v>45017</v>
      </c>
      <c r="B86" s="2078"/>
      <c r="C86" s="2078"/>
      <c r="D86" s="2079"/>
      <c r="E86" s="1942">
        <v>15.533899999999999</v>
      </c>
      <c r="F86" s="1943"/>
      <c r="G86" s="1943"/>
      <c r="H86" s="1944"/>
      <c r="I86" s="683"/>
      <c r="J86" s="683"/>
    </row>
    <row r="87" spans="1:10" ht="16.95" customHeight="1">
      <c r="A87" s="1941">
        <v>45200</v>
      </c>
      <c r="B87" s="1941"/>
      <c r="C87" s="1941"/>
      <c r="D87" s="1941"/>
      <c r="E87" s="1942">
        <v>15.919700000000001</v>
      </c>
      <c r="F87" s="1943"/>
      <c r="G87" s="1943"/>
      <c r="H87" s="1944"/>
      <c r="I87" s="683"/>
      <c r="J87" s="683"/>
    </row>
    <row r="88" spans="1:10" ht="16.95" customHeight="1">
      <c r="A88" s="1941">
        <v>45383</v>
      </c>
      <c r="B88" s="1941"/>
      <c r="C88" s="1941"/>
      <c r="D88" s="1941"/>
      <c r="E88" s="1942">
        <v>22.806699999999999</v>
      </c>
      <c r="F88" s="1943"/>
      <c r="G88" s="1943"/>
      <c r="H88" s="1944"/>
      <c r="I88" s="683"/>
      <c r="J88" s="683"/>
    </row>
    <row r="89" spans="1:10" ht="16.95" customHeight="1">
      <c r="A89" s="1941">
        <v>45748</v>
      </c>
      <c r="B89" s="1941"/>
      <c r="C89" s="1941"/>
      <c r="D89" s="1941"/>
      <c r="E89" s="1942">
        <v>23.3095</v>
      </c>
      <c r="F89" s="1943"/>
      <c r="G89" s="1943"/>
      <c r="H89" s="1944"/>
      <c r="I89" s="683"/>
      <c r="J89" s="683"/>
    </row>
    <row r="90" spans="1:10" ht="16.95" customHeight="1" thickBot="1">
      <c r="A90" s="2108">
        <v>45962</v>
      </c>
      <c r="B90" s="2108"/>
      <c r="C90" s="2108"/>
      <c r="D90" s="2108"/>
      <c r="E90" s="2083">
        <v>24.912600000000001</v>
      </c>
      <c r="F90" s="2084"/>
      <c r="G90" s="2084"/>
      <c r="H90" s="2085"/>
      <c r="I90" s="684"/>
      <c r="J90" s="684"/>
    </row>
    <row r="91" spans="1:10" ht="25.5" customHeight="1" thickBot="1">
      <c r="A91" s="677"/>
      <c r="B91" s="677"/>
      <c r="C91" s="677"/>
      <c r="D91" s="677"/>
      <c r="E91" s="677"/>
      <c r="F91" s="677"/>
      <c r="G91" s="677"/>
      <c r="H91" s="677"/>
      <c r="I91" s="684"/>
      <c r="J91" s="684"/>
    </row>
    <row r="92" spans="1:10" ht="18" thickBot="1">
      <c r="A92" s="2102" t="s">
        <v>71</v>
      </c>
      <c r="B92" s="2103"/>
      <c r="C92" s="2103"/>
      <c r="D92" s="2103"/>
      <c r="E92" s="2103"/>
      <c r="F92" s="2103"/>
      <c r="G92" s="2103"/>
      <c r="H92" s="2104"/>
      <c r="I92" s="13"/>
      <c r="J92" s="13"/>
    </row>
    <row r="93" spans="1:10" ht="15" thickBot="1">
      <c r="A93" s="2054" t="s">
        <v>72</v>
      </c>
      <c r="B93" s="2055"/>
      <c r="C93" s="2055"/>
      <c r="D93" s="2055"/>
      <c r="E93" s="2055"/>
      <c r="F93" s="2055"/>
      <c r="G93" s="2055"/>
      <c r="H93" s="2056"/>
      <c r="I93" s="683"/>
      <c r="J93" s="683"/>
    </row>
    <row r="94" spans="1:10">
      <c r="A94" s="2060" t="s">
        <v>216</v>
      </c>
      <c r="B94" s="2061"/>
      <c r="C94" s="2061"/>
      <c r="D94" s="2061"/>
      <c r="E94" s="2061"/>
      <c r="F94" s="2061"/>
      <c r="G94" s="2061"/>
      <c r="H94" s="2062"/>
    </row>
    <row r="95" spans="1:10">
      <c r="A95" s="2063"/>
      <c r="B95" s="2064"/>
      <c r="C95" s="2064"/>
      <c r="D95" s="2064"/>
      <c r="E95" s="2064"/>
      <c r="F95" s="2064"/>
      <c r="G95" s="2064"/>
      <c r="H95" s="2065"/>
      <c r="I95" s="13"/>
      <c r="J95" s="13"/>
    </row>
    <row r="96" spans="1:10">
      <c r="A96" s="2063"/>
      <c r="B96" s="2064"/>
      <c r="C96" s="2064"/>
      <c r="D96" s="2064"/>
      <c r="E96" s="2064"/>
      <c r="F96" s="2064"/>
      <c r="G96" s="2064"/>
      <c r="H96" s="2065"/>
      <c r="I96" s="683"/>
      <c r="J96" s="683"/>
    </row>
    <row r="97" spans="1:10" ht="31.5" customHeight="1">
      <c r="A97" s="2063"/>
      <c r="B97" s="2064"/>
      <c r="C97" s="2064"/>
      <c r="D97" s="2064"/>
      <c r="E97" s="2064"/>
      <c r="F97" s="2064"/>
      <c r="G97" s="2064"/>
      <c r="H97" s="2065"/>
    </row>
    <row r="98" spans="1:10" ht="6" customHeight="1" thickBot="1">
      <c r="A98" s="2066"/>
      <c r="B98" s="2067"/>
      <c r="C98" s="2067"/>
      <c r="D98" s="2067"/>
      <c r="E98" s="2067"/>
      <c r="F98" s="2067"/>
      <c r="G98" s="2067"/>
      <c r="H98" s="2068"/>
    </row>
    <row r="99" spans="1:10" ht="15" thickBot="1">
      <c r="A99" s="679"/>
      <c r="B99" s="679"/>
      <c r="C99" s="679"/>
      <c r="D99" s="679"/>
      <c r="E99" s="679"/>
      <c r="F99" s="679"/>
      <c r="G99" s="679"/>
      <c r="H99" s="679"/>
      <c r="I99" s="683"/>
      <c r="J99" s="683"/>
    </row>
    <row r="100" spans="1:10" ht="19.95" customHeight="1" thickBot="1">
      <c r="A100" s="2054" t="s">
        <v>73</v>
      </c>
      <c r="B100" s="2055"/>
      <c r="C100" s="2055"/>
      <c r="D100" s="2055"/>
      <c r="E100" s="2055"/>
      <c r="F100" s="2055"/>
      <c r="G100" s="2055"/>
      <c r="H100" s="2056"/>
      <c r="I100" s="684"/>
      <c r="J100" s="684"/>
    </row>
    <row r="101" spans="1:10">
      <c r="A101" s="2060" t="s">
        <v>134</v>
      </c>
      <c r="B101" s="2061"/>
      <c r="C101" s="2061"/>
      <c r="D101" s="2061"/>
      <c r="E101" s="2061"/>
      <c r="F101" s="2061"/>
      <c r="G101" s="2061"/>
      <c r="H101" s="2062"/>
      <c r="I101" s="684"/>
      <c r="J101" s="684"/>
    </row>
    <row r="102" spans="1:10" ht="22.05" customHeight="1" thickBot="1">
      <c r="A102" s="2066"/>
      <c r="B102" s="2067"/>
      <c r="C102" s="2067"/>
      <c r="D102" s="2067"/>
      <c r="E102" s="2067"/>
      <c r="F102" s="2067"/>
      <c r="G102" s="2067"/>
      <c r="H102" s="2068"/>
      <c r="I102" s="684"/>
      <c r="J102" s="684"/>
    </row>
    <row r="103" spans="1:10" ht="15" thickBot="1">
      <c r="A103" s="680"/>
      <c r="B103" s="680"/>
      <c r="C103" s="680"/>
      <c r="D103" s="680"/>
      <c r="E103" s="680"/>
      <c r="F103" s="680"/>
      <c r="G103" s="680"/>
      <c r="H103" s="680"/>
    </row>
    <row r="104" spans="1:10" ht="15" thickBot="1">
      <c r="A104" s="2054" t="s">
        <v>74</v>
      </c>
      <c r="B104" s="2055"/>
      <c r="C104" s="2055"/>
      <c r="D104" s="2055"/>
      <c r="E104" s="2055"/>
      <c r="F104" s="2055"/>
      <c r="G104" s="2055"/>
      <c r="H104" s="2056"/>
    </row>
    <row r="105" spans="1:10" ht="15" thickBot="1">
      <c r="A105" s="262" t="s">
        <v>77</v>
      </c>
      <c r="B105" s="261"/>
      <c r="C105" s="261"/>
      <c r="D105" s="261"/>
      <c r="E105" s="261"/>
      <c r="F105" s="261"/>
      <c r="G105" s="261"/>
      <c r="H105" s="263"/>
    </row>
    <row r="106" spans="1:10" ht="15" thickBot="1">
      <c r="A106" s="680"/>
      <c r="B106" s="680"/>
      <c r="C106" s="680"/>
      <c r="D106" s="680"/>
      <c r="E106" s="680"/>
      <c r="F106" s="680"/>
      <c r="G106" s="680"/>
      <c r="H106" s="680"/>
    </row>
    <row r="107" spans="1:10" ht="15" thickBot="1">
      <c r="A107" s="2054" t="s">
        <v>75</v>
      </c>
      <c r="B107" s="2055"/>
      <c r="C107" s="2055"/>
      <c r="D107" s="2055"/>
      <c r="E107" s="2055"/>
      <c r="F107" s="2055"/>
      <c r="G107" s="2055"/>
      <c r="H107" s="2056"/>
    </row>
    <row r="108" spans="1:10" ht="15" thickBot="1">
      <c r="A108" s="2057" t="s">
        <v>78</v>
      </c>
      <c r="B108" s="2058"/>
      <c r="C108" s="2058"/>
      <c r="D108" s="2058"/>
      <c r="E108" s="2058"/>
      <c r="F108" s="2058"/>
      <c r="G108" s="2058"/>
      <c r="H108" s="2059"/>
    </row>
    <row r="109" spans="1:10" ht="15" thickBot="1"/>
    <row r="110" spans="1:10" ht="15" thickBot="1">
      <c r="A110" s="2054" t="s">
        <v>76</v>
      </c>
      <c r="B110" s="2055"/>
      <c r="C110" s="2055"/>
      <c r="D110" s="2055"/>
      <c r="E110" s="2055"/>
      <c r="F110" s="2055"/>
      <c r="G110" s="2055"/>
      <c r="H110" s="2056"/>
    </row>
    <row r="111" spans="1:10">
      <c r="A111" s="2060" t="s">
        <v>313</v>
      </c>
      <c r="B111" s="2061"/>
      <c r="C111" s="2061"/>
      <c r="D111" s="2061"/>
      <c r="E111" s="2061"/>
      <c r="F111" s="2061"/>
      <c r="G111" s="2061"/>
      <c r="H111" s="2062"/>
    </row>
    <row r="112" spans="1:10">
      <c r="A112" s="2063"/>
      <c r="B112" s="2064"/>
      <c r="C112" s="2064"/>
      <c r="D112" s="2064"/>
      <c r="E112" s="2064"/>
      <c r="F112" s="2064"/>
      <c r="G112" s="2064"/>
      <c r="H112" s="2065"/>
    </row>
    <row r="113" spans="1:8" ht="15" thickBot="1">
      <c r="A113" s="2066"/>
      <c r="B113" s="2067"/>
      <c r="C113" s="2067"/>
      <c r="D113" s="2067"/>
      <c r="E113" s="2067"/>
      <c r="F113" s="2067"/>
      <c r="G113" s="2067"/>
      <c r="H113" s="2068"/>
    </row>
  </sheetData>
  <mergeCells count="142">
    <mergeCell ref="A61:E61"/>
    <mergeCell ref="A57:E57"/>
    <mergeCell ref="A104:H104"/>
    <mergeCell ref="A94:H98"/>
    <mergeCell ref="A92:H92"/>
    <mergeCell ref="A93:H93"/>
    <mergeCell ref="A100:H100"/>
    <mergeCell ref="A101:H102"/>
    <mergeCell ref="A76:D76"/>
    <mergeCell ref="E76:H76"/>
    <mergeCell ref="A70:D70"/>
    <mergeCell ref="A71:D71"/>
    <mergeCell ref="A72:D72"/>
    <mergeCell ref="A90:D90"/>
    <mergeCell ref="A77:D77"/>
    <mergeCell ref="E77:H77"/>
    <mergeCell ref="A78:D78"/>
    <mergeCell ref="E78:H78"/>
    <mergeCell ref="A80:D80"/>
    <mergeCell ref="E80:H80"/>
    <mergeCell ref="A83:D83"/>
    <mergeCell ref="E83:H83"/>
    <mergeCell ref="A84:D84"/>
    <mergeCell ref="E84:H84"/>
    <mergeCell ref="A85:D85"/>
    <mergeCell ref="E85:H85"/>
    <mergeCell ref="E90:H90"/>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88:D88"/>
    <mergeCell ref="E88:H88"/>
    <mergeCell ref="A107:H107"/>
    <mergeCell ref="A110:H110"/>
    <mergeCell ref="A108:H108"/>
    <mergeCell ref="A111:H113"/>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I24:J24"/>
    <mergeCell ref="A20:A21"/>
    <mergeCell ref="I21:J22"/>
    <mergeCell ref="E22:H22"/>
    <mergeCell ref="I23:J23"/>
    <mergeCell ref="B21:D21"/>
    <mergeCell ref="E23:H23"/>
    <mergeCell ref="B22:D22"/>
    <mergeCell ref="B23:D23"/>
    <mergeCell ref="E24:H24"/>
    <mergeCell ref="B24:D24"/>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H3"/>
    <mergeCell ref="A1:H1"/>
    <mergeCell ref="F7:G7"/>
    <mergeCell ref="B8:C8"/>
    <mergeCell ref="B9:C9"/>
    <mergeCell ref="A19:H19"/>
    <mergeCell ref="B20:D20"/>
    <mergeCell ref="A12:H12"/>
    <mergeCell ref="A13:G13"/>
    <mergeCell ref="A89:D89"/>
    <mergeCell ref="E89:H89"/>
    <mergeCell ref="A47:H47"/>
    <mergeCell ref="A48:G48"/>
    <mergeCell ref="A49:G49"/>
    <mergeCell ref="A50:G50"/>
    <mergeCell ref="A36:H36"/>
    <mergeCell ref="A37:G37"/>
    <mergeCell ref="A5:A6"/>
    <mergeCell ref="B5:C6"/>
    <mergeCell ref="H5:H6"/>
    <mergeCell ref="F5:G6"/>
    <mergeCell ref="F8:G8"/>
    <mergeCell ref="A26:H26"/>
    <mergeCell ref="E67:H67"/>
    <mergeCell ref="A62:E62"/>
    <mergeCell ref="A63:E63"/>
    <mergeCell ref="A53:H53"/>
    <mergeCell ref="A54:H54"/>
    <mergeCell ref="A58:E59"/>
    <mergeCell ref="F58:F59"/>
    <mergeCell ref="G58:G59"/>
    <mergeCell ref="H58:H59"/>
    <mergeCell ref="A60:E60"/>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16" workbookViewId="0">
      <selection activeCell="D136" sqref="D136"/>
    </sheetView>
  </sheetViews>
  <sheetFormatPr defaultColWidth="8.77734375" defaultRowHeight="14.4"/>
  <cols>
    <col min="1" max="1" width="8.77734375" style="13"/>
    <col min="2" max="2" width="8.77734375" style="114" customWidth="1"/>
    <col min="3" max="3" width="12.33203125" style="13" hidden="1" customWidth="1"/>
    <col min="4" max="4" width="12.33203125" style="12" bestFit="1" customWidth="1"/>
    <col min="5" max="5" width="12.77734375" style="12" hidden="1" customWidth="1"/>
    <col min="6" max="6" width="12.33203125" style="12" bestFit="1" customWidth="1"/>
    <col min="7" max="7" width="12.77734375" style="12" hidden="1" customWidth="1"/>
    <col min="8" max="8" width="12.33203125" style="12" bestFit="1" customWidth="1"/>
    <col min="9" max="9" width="12.7773437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77734375" style="66" customWidth="1"/>
  </cols>
  <sheetData>
    <row r="1" spans="1:15" ht="40.049999999999997" customHeight="1" thickBot="1">
      <c r="A1" s="2114" t="str">
        <f>"Månedslønninger pr. "&amp;'Løntabel gældende fra'!D1&amp;" statens takster"</f>
        <v>Månedslønninger pr. 01-11-2025 statens takster</v>
      </c>
      <c r="B1" s="2115"/>
      <c r="C1" s="2115"/>
      <c r="D1" s="2115"/>
      <c r="E1" s="2115"/>
      <c r="F1" s="2115"/>
      <c r="G1" s="2115"/>
      <c r="H1" s="2115"/>
      <c r="I1" s="2115"/>
      <c r="J1" s="2115"/>
      <c r="K1" s="2115"/>
      <c r="L1" s="2115"/>
      <c r="M1" s="2115"/>
      <c r="N1" s="2115"/>
      <c r="O1" s="2116"/>
    </row>
    <row r="2" spans="1:15" ht="18" customHeight="1">
      <c r="A2" s="2117" t="s">
        <v>310</v>
      </c>
      <c r="B2" s="2118"/>
      <c r="C2" s="2118"/>
      <c r="D2" s="2118"/>
      <c r="E2" s="2118"/>
      <c r="F2" s="2118"/>
      <c r="G2" s="2118"/>
      <c r="H2" s="2118"/>
      <c r="I2" s="2118"/>
      <c r="J2" s="2118"/>
      <c r="K2" s="2118"/>
      <c r="L2" s="2118"/>
      <c r="M2" s="2118"/>
      <c r="N2" s="2118"/>
      <c r="O2" s="2119"/>
    </row>
    <row r="3" spans="1:15" ht="18" customHeight="1">
      <c r="A3" s="2120" t="s">
        <v>311</v>
      </c>
      <c r="B3" s="2121"/>
      <c r="C3" s="2121"/>
      <c r="D3" s="2121"/>
      <c r="E3" s="2121"/>
      <c r="F3" s="2121"/>
      <c r="G3" s="2121"/>
      <c r="H3" s="2121"/>
      <c r="I3" s="2121"/>
      <c r="J3" s="2121"/>
      <c r="K3" s="2121"/>
      <c r="L3" s="2121"/>
      <c r="M3" s="2121"/>
      <c r="N3" s="2121"/>
      <c r="O3" s="2122"/>
    </row>
    <row r="4" spans="1:15" ht="33.75" customHeight="1" thickBot="1">
      <c r="A4" s="2123"/>
      <c r="B4" s="2124"/>
      <c r="C4" s="2124"/>
      <c r="D4" s="2124"/>
      <c r="E4" s="2124"/>
      <c r="F4" s="2124"/>
      <c r="G4" s="2124"/>
      <c r="H4" s="2124"/>
      <c r="I4" s="2124"/>
      <c r="J4" s="2124"/>
      <c r="K4" s="2124"/>
      <c r="L4" s="2124"/>
      <c r="M4" s="2124"/>
      <c r="N4" s="2124"/>
      <c r="O4" s="2125"/>
    </row>
    <row r="5" spans="1:15" s="31" customFormat="1" ht="25.95" customHeight="1" thickBot="1">
      <c r="A5" s="331" t="s">
        <v>57</v>
      </c>
      <c r="B5" s="352"/>
      <c r="C5" s="354" t="s">
        <v>105</v>
      </c>
      <c r="D5" s="331" t="s">
        <v>52</v>
      </c>
      <c r="E5" s="352" t="s">
        <v>106</v>
      </c>
      <c r="F5" s="353" t="s">
        <v>53</v>
      </c>
      <c r="G5" s="354" t="s">
        <v>107</v>
      </c>
      <c r="H5" s="331" t="s">
        <v>54</v>
      </c>
      <c r="I5" s="352" t="s">
        <v>108</v>
      </c>
      <c r="J5" s="353" t="s">
        <v>55</v>
      </c>
      <c r="K5" s="354" t="s">
        <v>109</v>
      </c>
      <c r="L5" s="331" t="s">
        <v>56</v>
      </c>
      <c r="M5" s="355"/>
      <c r="N5" s="356" t="s">
        <v>110</v>
      </c>
      <c r="O5" s="357" t="s">
        <v>111</v>
      </c>
    </row>
    <row r="6" spans="1:15" ht="19.95" customHeight="1">
      <c r="A6" s="2112">
        <v>1</v>
      </c>
      <c r="B6" s="342" t="s">
        <v>93</v>
      </c>
      <c r="C6" s="185">
        <v>184817</v>
      </c>
      <c r="D6" s="178">
        <f>ROUND((C6*(1+'Løntabel gældende fra'!$D$7%)),0)</f>
        <v>230860</v>
      </c>
      <c r="E6" s="186">
        <v>188265</v>
      </c>
      <c r="F6" s="187">
        <f>ROUND((E6*(1+'Løntabel gældende fra'!$D$7%)),0)</f>
        <v>235167</v>
      </c>
      <c r="G6" s="185">
        <v>190650</v>
      </c>
      <c r="H6" s="178">
        <f>ROUND((G6*(1+'Løntabel gældende fra'!$D$7%)),0)</f>
        <v>238146</v>
      </c>
      <c r="I6" s="186">
        <v>194098</v>
      </c>
      <c r="J6" s="187">
        <f>ROUND((I6*(1+'Løntabel gældende fra'!$D$7%)),0)</f>
        <v>242453</v>
      </c>
      <c r="K6" s="185">
        <v>196484</v>
      </c>
      <c r="L6" s="178">
        <f>ROUND((K6*(1+'Løntabel gældende fra'!$D$7%)),0)</f>
        <v>245433</v>
      </c>
      <c r="M6" s="380"/>
      <c r="N6" s="360">
        <v>171917.38</v>
      </c>
      <c r="O6" s="192">
        <f>ROUND(N6*(1+'Løntabel gældende fra'!$D$7%),2)</f>
        <v>214746.47</v>
      </c>
    </row>
    <row r="7" spans="1:15">
      <c r="A7" s="2110"/>
      <c r="B7" s="364" t="s">
        <v>94</v>
      </c>
      <c r="C7" s="369">
        <f>C6/12</f>
        <v>15401.416666666666</v>
      </c>
      <c r="D7" s="376">
        <f t="shared" ref="D7:L7" si="0">ROUND(D6/12,2)</f>
        <v>19238.330000000002</v>
      </c>
      <c r="E7" s="373">
        <f>E6/12</f>
        <v>15688.75</v>
      </c>
      <c r="F7" s="358">
        <f t="shared" si="0"/>
        <v>19597.25</v>
      </c>
      <c r="G7" s="369">
        <f>G6/12</f>
        <v>15887.5</v>
      </c>
      <c r="H7" s="376">
        <f t="shared" si="0"/>
        <v>19845.5</v>
      </c>
      <c r="I7" s="373">
        <f>I6/12</f>
        <v>16174.833333333334</v>
      </c>
      <c r="J7" s="358">
        <f t="shared" si="0"/>
        <v>20204.419999999998</v>
      </c>
      <c r="K7" s="369">
        <f>K6/12</f>
        <v>16373.666666666666</v>
      </c>
      <c r="L7" s="376">
        <f t="shared" si="0"/>
        <v>20452.75</v>
      </c>
      <c r="M7" s="381"/>
      <c r="N7" s="359"/>
      <c r="O7" s="361">
        <f>ROUND(O6/12,2)</f>
        <v>17895.54</v>
      </c>
    </row>
    <row r="8" spans="1:15" ht="15" thickBot="1">
      <c r="A8" s="2111"/>
      <c r="B8" s="344" t="s">
        <v>201</v>
      </c>
      <c r="C8" s="182"/>
      <c r="D8" s="183">
        <f>ROUND(D7/160.33,2)</f>
        <v>119.99</v>
      </c>
      <c r="E8" s="184"/>
      <c r="F8" s="183">
        <f t="shared" ref="F8:O8" si="1">ROUND(F7/160.33,2)</f>
        <v>122.23</v>
      </c>
      <c r="G8" s="183">
        <f t="shared" si="1"/>
        <v>99.09</v>
      </c>
      <c r="H8" s="183">
        <f t="shared" si="1"/>
        <v>123.78</v>
      </c>
      <c r="I8" s="183">
        <f t="shared" si="1"/>
        <v>100.88</v>
      </c>
      <c r="J8" s="183">
        <f t="shared" si="1"/>
        <v>126.02</v>
      </c>
      <c r="K8" s="183">
        <f t="shared" si="1"/>
        <v>102.12</v>
      </c>
      <c r="L8" s="183">
        <f t="shared" si="1"/>
        <v>127.57</v>
      </c>
      <c r="M8" s="183">
        <f t="shared" si="1"/>
        <v>0</v>
      </c>
      <c r="N8" s="183">
        <f t="shared" si="1"/>
        <v>0</v>
      </c>
      <c r="O8" s="183">
        <f t="shared" si="1"/>
        <v>111.62</v>
      </c>
    </row>
    <row r="9" spans="1:15">
      <c r="A9" s="2112">
        <v>2</v>
      </c>
      <c r="B9" s="342" t="s">
        <v>93</v>
      </c>
      <c r="C9" s="185">
        <v>187655</v>
      </c>
      <c r="D9" s="178">
        <f>ROUND((C9*(1+'Løntabel gældende fra'!$D$7%)),0)</f>
        <v>234405</v>
      </c>
      <c r="E9" s="186">
        <v>191187</v>
      </c>
      <c r="F9" s="187">
        <f>ROUND((E9*(1+'Løntabel gældende fra'!$D$7%)),0)</f>
        <v>238817</v>
      </c>
      <c r="G9" s="185">
        <v>193632</v>
      </c>
      <c r="H9" s="178">
        <f>ROUND((G9*(1+'Løntabel gældende fra'!$D$7%)),0)</f>
        <v>241871</v>
      </c>
      <c r="I9" s="186">
        <v>197161</v>
      </c>
      <c r="J9" s="187">
        <f>ROUND((I9*(1+'Løntabel gældende fra'!$D$7%)),0)</f>
        <v>246279</v>
      </c>
      <c r="K9" s="185">
        <v>199607</v>
      </c>
      <c r="L9" s="178">
        <f>ROUND((K9*(1+'Løntabel gældende fra'!$D$7%)),0)</f>
        <v>249334</v>
      </c>
      <c r="M9" s="382"/>
      <c r="N9" s="360">
        <v>174577.34</v>
      </c>
      <c r="O9" s="192">
        <f>ROUND(N9*(1+'Løntabel gældende fra'!$D$7%),2)</f>
        <v>218069.09</v>
      </c>
    </row>
    <row r="10" spans="1:15">
      <c r="A10" s="2110"/>
      <c r="B10" s="364" t="s">
        <v>94</v>
      </c>
      <c r="C10" s="369"/>
      <c r="D10" s="376">
        <f>ROUND(D9/12,2)</f>
        <v>19533.75</v>
      </c>
      <c r="E10" s="373"/>
      <c r="F10" s="358">
        <f>ROUND(F9/12,2)</f>
        <v>19901.419999999998</v>
      </c>
      <c r="G10" s="369">
        <f>G9/12</f>
        <v>16136</v>
      </c>
      <c r="H10" s="376">
        <f>ROUND(H9/12,2)</f>
        <v>20155.919999999998</v>
      </c>
      <c r="I10" s="373">
        <f>I9/12</f>
        <v>16430.083333333332</v>
      </c>
      <c r="J10" s="358">
        <f>ROUND(J9/12,2)</f>
        <v>20523.25</v>
      </c>
      <c r="K10" s="369">
        <f>K9/12</f>
        <v>16633.916666666668</v>
      </c>
      <c r="L10" s="376">
        <f>ROUND(L9/12,2)</f>
        <v>20777.830000000002</v>
      </c>
      <c r="M10" s="381"/>
      <c r="N10" s="359"/>
      <c r="O10" s="361">
        <f>ROUND(O9/12,2)</f>
        <v>18172.419999999998</v>
      </c>
    </row>
    <row r="11" spans="1:15" ht="15" thickBot="1">
      <c r="A11" s="2111"/>
      <c r="B11" s="344" t="s">
        <v>201</v>
      </c>
      <c r="C11" s="182">
        <f>C9/12</f>
        <v>15637.916666666666</v>
      </c>
      <c r="D11" s="183">
        <f>ROUND(D10/160.33,2)</f>
        <v>121.83</v>
      </c>
      <c r="E11" s="184">
        <f>E9/12</f>
        <v>15932.25</v>
      </c>
      <c r="F11" s="183">
        <f t="shared" ref="F11:O11" si="2">ROUND(F10/160.33,2)</f>
        <v>124.13</v>
      </c>
      <c r="G11" s="183">
        <f t="shared" si="2"/>
        <v>100.64</v>
      </c>
      <c r="H11" s="183">
        <f t="shared" si="2"/>
        <v>125.72</v>
      </c>
      <c r="I11" s="183">
        <f t="shared" si="2"/>
        <v>102.48</v>
      </c>
      <c r="J11" s="183">
        <f t="shared" si="2"/>
        <v>128.01</v>
      </c>
      <c r="K11" s="183">
        <f t="shared" si="2"/>
        <v>103.75</v>
      </c>
      <c r="L11" s="183">
        <f t="shared" si="2"/>
        <v>129.59</v>
      </c>
      <c r="M11" s="183">
        <f t="shared" si="2"/>
        <v>0</v>
      </c>
      <c r="N11" s="183">
        <f t="shared" si="2"/>
        <v>0</v>
      </c>
      <c r="O11" s="183">
        <f t="shared" si="2"/>
        <v>113.34</v>
      </c>
    </row>
    <row r="12" spans="1:15">
      <c r="A12" s="2112">
        <v>3</v>
      </c>
      <c r="B12" s="342" t="s">
        <v>93</v>
      </c>
      <c r="C12" s="185">
        <v>190571</v>
      </c>
      <c r="D12" s="178">
        <f>ROUND((C12*(1+'Løntabel gældende fra'!$D$7%)),0)</f>
        <v>238047</v>
      </c>
      <c r="E12" s="186">
        <v>194187</v>
      </c>
      <c r="F12" s="187">
        <f>ROUND((E12*(1+'Løntabel gældende fra'!$D$7%)),0)</f>
        <v>242564</v>
      </c>
      <c r="G12" s="185">
        <v>196692</v>
      </c>
      <c r="H12" s="178">
        <f>ROUND((G12*(1+'Løntabel gældende fra'!$D$7%)),0)</f>
        <v>245693</v>
      </c>
      <c r="I12" s="186">
        <v>200308</v>
      </c>
      <c r="J12" s="187">
        <f>ROUND((I12*(1+'Løntabel gældende fra'!$D$7%)),0)</f>
        <v>250210</v>
      </c>
      <c r="K12" s="185">
        <v>202814</v>
      </c>
      <c r="L12" s="178">
        <f>ROUND((K12*(1+'Løntabel gældende fra'!$D$7%)),0)</f>
        <v>253340</v>
      </c>
      <c r="M12" s="382"/>
      <c r="N12" s="360">
        <v>177309.48</v>
      </c>
      <c r="O12" s="192">
        <f>ROUND(N12*(1+'Løntabel gældende fra'!$D$7%),2)</f>
        <v>221481.88</v>
      </c>
    </row>
    <row r="13" spans="1:15">
      <c r="A13" s="2110"/>
      <c r="B13" s="364" t="s">
        <v>94</v>
      </c>
      <c r="C13" s="369">
        <f>C12/12</f>
        <v>15880.916666666666</v>
      </c>
      <c r="D13" s="376">
        <f>ROUND(D12/12,2)</f>
        <v>19837.25</v>
      </c>
      <c r="E13" s="373">
        <f>E12/12</f>
        <v>16182.25</v>
      </c>
      <c r="F13" s="358">
        <f>ROUND(F12/12,2)</f>
        <v>20213.669999999998</v>
      </c>
      <c r="G13" s="369">
        <f>G12/12</f>
        <v>16391</v>
      </c>
      <c r="H13" s="376">
        <f>ROUND(H12/12,2)</f>
        <v>20474.419999999998</v>
      </c>
      <c r="I13" s="373">
        <f>I12/12</f>
        <v>16692.333333333332</v>
      </c>
      <c r="J13" s="358">
        <f>ROUND(J12/12,2)</f>
        <v>20850.830000000002</v>
      </c>
      <c r="K13" s="369">
        <f>K12/12</f>
        <v>16901.166666666668</v>
      </c>
      <c r="L13" s="376">
        <f>ROUND(L12/12,2)</f>
        <v>21111.67</v>
      </c>
      <c r="M13" s="381"/>
      <c r="N13" s="359"/>
      <c r="O13" s="361">
        <f>ROUND(O12/12,2)</f>
        <v>18456.82</v>
      </c>
    </row>
    <row r="14" spans="1:15" ht="15" thickBot="1">
      <c r="A14" s="2111"/>
      <c r="B14" s="344" t="s">
        <v>201</v>
      </c>
      <c r="C14" s="370"/>
      <c r="D14" s="183">
        <f>ROUND(D13/160.33,2)</f>
        <v>123.73</v>
      </c>
      <c r="E14" s="374"/>
      <c r="F14" s="183">
        <f t="shared" ref="F14:O14" si="3">ROUND(F13/160.33,2)</f>
        <v>126.08</v>
      </c>
      <c r="G14" s="183">
        <f t="shared" si="3"/>
        <v>102.23</v>
      </c>
      <c r="H14" s="183">
        <f t="shared" si="3"/>
        <v>127.7</v>
      </c>
      <c r="I14" s="183">
        <f t="shared" si="3"/>
        <v>104.11</v>
      </c>
      <c r="J14" s="183">
        <f t="shared" si="3"/>
        <v>130.05000000000001</v>
      </c>
      <c r="K14" s="183">
        <f t="shared" si="3"/>
        <v>105.41</v>
      </c>
      <c r="L14" s="183">
        <f t="shared" si="3"/>
        <v>131.68</v>
      </c>
      <c r="M14" s="183">
        <f t="shared" si="3"/>
        <v>0</v>
      </c>
      <c r="N14" s="183">
        <f t="shared" si="3"/>
        <v>0</v>
      </c>
      <c r="O14" s="183">
        <f t="shared" si="3"/>
        <v>115.12</v>
      </c>
    </row>
    <row r="15" spans="1:15">
      <c r="A15" s="2112">
        <v>4</v>
      </c>
      <c r="B15" s="342" t="s">
        <v>93</v>
      </c>
      <c r="C15" s="185">
        <v>193567</v>
      </c>
      <c r="D15" s="178">
        <f>ROUND((C15*(1+'Løntabel gældende fra'!$D$7%)),0)</f>
        <v>241790</v>
      </c>
      <c r="E15" s="186">
        <v>197274</v>
      </c>
      <c r="F15" s="187">
        <f>ROUND((E15*(1+'Løntabel gældende fra'!$D$7%)),0)</f>
        <v>246420</v>
      </c>
      <c r="G15" s="185">
        <v>199840</v>
      </c>
      <c r="H15" s="178">
        <f>ROUND((G15*(1+'Løntabel gældende fra'!$D$7%)),0)</f>
        <v>249625</v>
      </c>
      <c r="I15" s="186">
        <v>203545</v>
      </c>
      <c r="J15" s="187">
        <f>ROUND((I15*(1+'Løntabel gældende fra'!$D$7%)),0)</f>
        <v>254253</v>
      </c>
      <c r="K15" s="185">
        <v>206110</v>
      </c>
      <c r="L15" s="178">
        <f>ROUND((K15*(1+'Løntabel gældende fra'!$D$7%)),0)</f>
        <v>257457</v>
      </c>
      <c r="M15" s="382"/>
      <c r="N15" s="360">
        <v>180117.41</v>
      </c>
      <c r="O15" s="192">
        <f>ROUND(N15*(1+'Løntabel gældende fra'!$D$7%),2)</f>
        <v>224989.34</v>
      </c>
    </row>
    <row r="16" spans="1:15">
      <c r="A16" s="2110"/>
      <c r="B16" s="364" t="s">
        <v>94</v>
      </c>
      <c r="C16" s="369">
        <f>C15/12</f>
        <v>16130.583333333334</v>
      </c>
      <c r="D16" s="376">
        <f>ROUND(D15/12,2)</f>
        <v>20149.169999999998</v>
      </c>
      <c r="E16" s="373">
        <f>E15/12</f>
        <v>16439.5</v>
      </c>
      <c r="F16" s="358">
        <f>ROUND(F15/12,2)</f>
        <v>20535</v>
      </c>
      <c r="G16" s="369">
        <f>G15/12</f>
        <v>16653.333333333332</v>
      </c>
      <c r="H16" s="376">
        <f>ROUND(H15/12,2)</f>
        <v>20802.080000000002</v>
      </c>
      <c r="I16" s="373">
        <f>I15/12</f>
        <v>16962.083333333332</v>
      </c>
      <c r="J16" s="358">
        <f>ROUND(J15/12,2)</f>
        <v>21187.75</v>
      </c>
      <c r="K16" s="369">
        <f>K15/12</f>
        <v>17175.833333333332</v>
      </c>
      <c r="L16" s="376">
        <f>ROUND(L15/12,2)</f>
        <v>21454.75</v>
      </c>
      <c r="M16" s="381"/>
      <c r="N16" s="359"/>
      <c r="O16" s="361">
        <f>ROUND(O15/12,2)</f>
        <v>18749.11</v>
      </c>
    </row>
    <row r="17" spans="1:15" ht="15" thickBot="1">
      <c r="A17" s="2111"/>
      <c r="B17" s="344" t="s">
        <v>201</v>
      </c>
      <c r="C17" s="370"/>
      <c r="D17" s="183">
        <f>ROUND(D16/160.33,2)</f>
        <v>125.67</v>
      </c>
      <c r="E17" s="374"/>
      <c r="F17" s="183">
        <f t="shared" ref="F17:O17" si="4">ROUND(F16/160.33,2)</f>
        <v>128.08000000000001</v>
      </c>
      <c r="G17" s="183">
        <f t="shared" si="4"/>
        <v>103.87</v>
      </c>
      <c r="H17" s="183">
        <f t="shared" si="4"/>
        <v>129.75</v>
      </c>
      <c r="I17" s="183">
        <f t="shared" si="4"/>
        <v>105.79</v>
      </c>
      <c r="J17" s="183">
        <f t="shared" si="4"/>
        <v>132.15</v>
      </c>
      <c r="K17" s="183">
        <f t="shared" si="4"/>
        <v>107.13</v>
      </c>
      <c r="L17" s="183">
        <f t="shared" si="4"/>
        <v>133.82</v>
      </c>
      <c r="M17" s="183">
        <f t="shared" si="4"/>
        <v>0</v>
      </c>
      <c r="N17" s="183">
        <f t="shared" si="4"/>
        <v>0</v>
      </c>
      <c r="O17" s="183">
        <f t="shared" si="4"/>
        <v>116.94</v>
      </c>
    </row>
    <row r="18" spans="1:15">
      <c r="A18" s="2112">
        <v>5</v>
      </c>
      <c r="B18" s="342" t="s">
        <v>93</v>
      </c>
      <c r="C18" s="185">
        <v>196645</v>
      </c>
      <c r="D18" s="178">
        <f>ROUND((C18*(1+'Løntabel gældende fra'!$D$7%)),0)</f>
        <v>245634</v>
      </c>
      <c r="E18" s="186">
        <v>200442</v>
      </c>
      <c r="F18" s="187">
        <f>ROUND((E18*(1+'Løntabel gældende fra'!$D$7%)),0)</f>
        <v>250377</v>
      </c>
      <c r="G18" s="185">
        <v>203072</v>
      </c>
      <c r="H18" s="178">
        <f>ROUND((G18*(1+'Løntabel gældende fra'!$D$7%)),0)</f>
        <v>253663</v>
      </c>
      <c r="I18" s="186">
        <v>206869</v>
      </c>
      <c r="J18" s="187">
        <f>ROUND((I18*(1+'Løntabel gældende fra'!$D$7%)),0)</f>
        <v>258405</v>
      </c>
      <c r="K18" s="185">
        <v>209497</v>
      </c>
      <c r="L18" s="178">
        <f>ROUND((K18*(1+'Løntabel gældende fra'!$D$7%)),0)</f>
        <v>261688</v>
      </c>
      <c r="M18" s="382"/>
      <c r="N18" s="360">
        <v>183001.14</v>
      </c>
      <c r="O18" s="192">
        <f>ROUND(N18*(1+'Løntabel gældende fra'!$D$7%),2)</f>
        <v>228591.48</v>
      </c>
    </row>
    <row r="19" spans="1:15">
      <c r="A19" s="2110"/>
      <c r="B19" s="364" t="s">
        <v>94</v>
      </c>
      <c r="C19" s="369">
        <f>C18/12</f>
        <v>16387.083333333332</v>
      </c>
      <c r="D19" s="376">
        <f>ROUND(D18/12,2)</f>
        <v>20469.5</v>
      </c>
      <c r="E19" s="373">
        <f>E18/12</f>
        <v>16703.5</v>
      </c>
      <c r="F19" s="358">
        <f>ROUND(F18/12,2)</f>
        <v>20864.75</v>
      </c>
      <c r="G19" s="369">
        <f>G18/12</f>
        <v>16922.666666666668</v>
      </c>
      <c r="H19" s="376">
        <f>ROUND(H18/12,2)</f>
        <v>21138.58</v>
      </c>
      <c r="I19" s="373">
        <f>I18/12</f>
        <v>17239.083333333332</v>
      </c>
      <c r="J19" s="358">
        <f>ROUND(J18/12,2)</f>
        <v>21533.75</v>
      </c>
      <c r="K19" s="369">
        <f>K18/12</f>
        <v>17458.083333333332</v>
      </c>
      <c r="L19" s="376">
        <f>ROUND(L18/12,2)</f>
        <v>21807.33</v>
      </c>
      <c r="M19" s="381"/>
      <c r="N19" s="359"/>
      <c r="O19" s="361">
        <f>ROUND(O18/12,2)</f>
        <v>19049.29</v>
      </c>
    </row>
    <row r="20" spans="1:15" ht="15" thickBot="1">
      <c r="A20" s="2111"/>
      <c r="B20" s="344" t="s">
        <v>201</v>
      </c>
      <c r="C20" s="370"/>
      <c r="D20" s="183">
        <f>ROUND(D19/160.33,2)</f>
        <v>127.67</v>
      </c>
      <c r="E20" s="374"/>
      <c r="F20" s="183">
        <f t="shared" ref="F20:O20" si="5">ROUND(F19/160.33,2)</f>
        <v>130.13999999999999</v>
      </c>
      <c r="G20" s="183">
        <f t="shared" si="5"/>
        <v>105.55</v>
      </c>
      <c r="H20" s="183">
        <f t="shared" si="5"/>
        <v>131.84</v>
      </c>
      <c r="I20" s="183">
        <f t="shared" si="5"/>
        <v>107.52</v>
      </c>
      <c r="J20" s="183">
        <f t="shared" si="5"/>
        <v>134.31</v>
      </c>
      <c r="K20" s="183">
        <f t="shared" si="5"/>
        <v>108.89</v>
      </c>
      <c r="L20" s="183">
        <f t="shared" si="5"/>
        <v>136.02000000000001</v>
      </c>
      <c r="M20" s="183">
        <f t="shared" si="5"/>
        <v>0</v>
      </c>
      <c r="N20" s="183">
        <f t="shared" si="5"/>
        <v>0</v>
      </c>
      <c r="O20" s="183">
        <f t="shared" si="5"/>
        <v>118.81</v>
      </c>
    </row>
    <row r="21" spans="1:15">
      <c r="A21" s="2109">
        <v>6</v>
      </c>
      <c r="B21" s="176" t="s">
        <v>93</v>
      </c>
      <c r="C21" s="177">
        <v>199810</v>
      </c>
      <c r="D21" s="181">
        <f>ROUND((C21*(1+'Løntabel gældende fra'!$D$7%)),0)</f>
        <v>249588</v>
      </c>
      <c r="E21" s="179">
        <v>203700</v>
      </c>
      <c r="F21" s="180">
        <f>ROUND((E21*(1+'Løntabel gældende fra'!$D$7%)),0)</f>
        <v>254447</v>
      </c>
      <c r="G21" s="177">
        <v>206395</v>
      </c>
      <c r="H21" s="181">
        <f>ROUND((G21*(1+'Løntabel gældende fra'!$D$7%)),0)</f>
        <v>257813</v>
      </c>
      <c r="I21" s="179">
        <v>210285</v>
      </c>
      <c r="J21" s="180">
        <f>ROUND((I21*(1+'Løntabel gældende fra'!$D$7%)),0)</f>
        <v>262672</v>
      </c>
      <c r="K21" s="177">
        <v>212978</v>
      </c>
      <c r="L21" s="181">
        <f>ROUND((K21*(1+'Løntabel gældende fra'!$D$7%)),0)</f>
        <v>266036</v>
      </c>
      <c r="M21" s="383"/>
      <c r="N21" s="362">
        <v>185966.06</v>
      </c>
      <c r="O21" s="363">
        <f>ROUND(N21*(1+'Løntabel gældende fra'!$D$7%),2)</f>
        <v>232295.04000000001</v>
      </c>
    </row>
    <row r="22" spans="1:15">
      <c r="A22" s="2110"/>
      <c r="B22" s="364" t="s">
        <v>94</v>
      </c>
      <c r="C22" s="369">
        <f>C21/12</f>
        <v>16650.833333333332</v>
      </c>
      <c r="D22" s="376">
        <f>ROUND(D21/12,2)</f>
        <v>20799</v>
      </c>
      <c r="E22" s="373">
        <f>E21/12</f>
        <v>16975</v>
      </c>
      <c r="F22" s="358">
        <f>ROUND(F21/12,2)</f>
        <v>21203.919999999998</v>
      </c>
      <c r="G22" s="369">
        <f>G21/12</f>
        <v>17199.583333333332</v>
      </c>
      <c r="H22" s="376">
        <f>ROUND(H21/12,2)</f>
        <v>21484.42</v>
      </c>
      <c r="I22" s="373">
        <f>I21/12</f>
        <v>17523.75</v>
      </c>
      <c r="J22" s="358">
        <f>ROUND(J21/12,2)</f>
        <v>21889.33</v>
      </c>
      <c r="K22" s="369">
        <f>K21/12</f>
        <v>17748.166666666668</v>
      </c>
      <c r="L22" s="376">
        <f>ROUND(L21/12,2)</f>
        <v>22169.67</v>
      </c>
      <c r="M22" s="381"/>
      <c r="N22" s="359"/>
      <c r="O22" s="361">
        <f>ROUND(O21/12,2)</f>
        <v>19357.919999999998</v>
      </c>
    </row>
    <row r="23" spans="1:15" ht="15" thickBot="1">
      <c r="A23" s="2113"/>
      <c r="B23" s="365" t="s">
        <v>201</v>
      </c>
      <c r="C23" s="371"/>
      <c r="D23" s="377">
        <f>ROUND(D22/160.33,2)</f>
        <v>129.72999999999999</v>
      </c>
      <c r="E23" s="375"/>
      <c r="F23" s="377">
        <f t="shared" ref="F23:O23" si="6">ROUND(F22/160.33,2)</f>
        <v>132.25</v>
      </c>
      <c r="G23" s="377">
        <f t="shared" si="6"/>
        <v>107.28</v>
      </c>
      <c r="H23" s="377">
        <f t="shared" si="6"/>
        <v>134</v>
      </c>
      <c r="I23" s="377">
        <f t="shared" si="6"/>
        <v>109.3</v>
      </c>
      <c r="J23" s="377">
        <f t="shared" si="6"/>
        <v>136.53</v>
      </c>
      <c r="K23" s="377">
        <f t="shared" si="6"/>
        <v>110.7</v>
      </c>
      <c r="L23" s="377">
        <f t="shared" si="6"/>
        <v>138.28</v>
      </c>
      <c r="M23" s="377">
        <f t="shared" si="6"/>
        <v>0</v>
      </c>
      <c r="N23" s="377">
        <f t="shared" si="6"/>
        <v>0</v>
      </c>
      <c r="O23" s="377">
        <f t="shared" si="6"/>
        <v>120.74</v>
      </c>
    </row>
    <row r="24" spans="1:15">
      <c r="A24" s="2112">
        <v>7</v>
      </c>
      <c r="B24" s="342" t="s">
        <v>93</v>
      </c>
      <c r="C24" s="185">
        <v>203058</v>
      </c>
      <c r="D24" s="178">
        <f>ROUND((C24*(1+'Løntabel gældende fra'!$D$7%)),0)</f>
        <v>253645</v>
      </c>
      <c r="E24" s="186">
        <v>207045</v>
      </c>
      <c r="F24" s="187">
        <f>ROUND((E24*(1+'Løntabel gældende fra'!$D$7%)),0)</f>
        <v>258625</v>
      </c>
      <c r="G24" s="185">
        <v>209805</v>
      </c>
      <c r="H24" s="178">
        <f>ROUND((G24*(1+'Løntabel gældende fra'!$D$7%)),0)</f>
        <v>262073</v>
      </c>
      <c r="I24" s="186">
        <v>213792</v>
      </c>
      <c r="J24" s="187">
        <f>ROUND((I24*(1+'Løntabel gældende fra'!$D$7%)),0)</f>
        <v>267053</v>
      </c>
      <c r="K24" s="185">
        <v>216551</v>
      </c>
      <c r="L24" s="178">
        <f>ROUND((K24*(1+'Løntabel gældende fra'!$D$7%)),0)</f>
        <v>270499</v>
      </c>
      <c r="M24" s="382"/>
      <c r="N24" s="360">
        <v>189010.4</v>
      </c>
      <c r="O24" s="192">
        <f>ROUND(N24*(1+'Løntabel gældende fra'!$D$7%),2)</f>
        <v>236097.8</v>
      </c>
    </row>
    <row r="25" spans="1:15">
      <c r="A25" s="2110"/>
      <c r="B25" s="364" t="s">
        <v>94</v>
      </c>
      <c r="C25" s="369"/>
      <c r="D25" s="376">
        <f>ROUND(D24/12,2)</f>
        <v>21137.08</v>
      </c>
      <c r="E25" s="373">
        <f>E24/12</f>
        <v>17253.75</v>
      </c>
      <c r="F25" s="358">
        <f>ROUND(F24/12,2)</f>
        <v>21552.080000000002</v>
      </c>
      <c r="G25" s="369">
        <f>G24/12</f>
        <v>17483.75</v>
      </c>
      <c r="H25" s="376">
        <f>ROUND(H24/12,2)</f>
        <v>21839.42</v>
      </c>
      <c r="I25" s="373">
        <f>I24/12</f>
        <v>17816</v>
      </c>
      <c r="J25" s="358">
        <f>ROUND(J24/12,2)</f>
        <v>22254.42</v>
      </c>
      <c r="K25" s="369">
        <f>K24/12</f>
        <v>18045.916666666668</v>
      </c>
      <c r="L25" s="376">
        <f>ROUND(L24/12,2)</f>
        <v>22541.58</v>
      </c>
      <c r="M25" s="381"/>
      <c r="N25" s="359"/>
      <c r="O25" s="361">
        <f>ROUND(O24/12,2)</f>
        <v>19674.82</v>
      </c>
    </row>
    <row r="26" spans="1:15" ht="15" thickBot="1">
      <c r="A26" s="2111"/>
      <c r="B26" s="344" t="s">
        <v>201</v>
      </c>
      <c r="C26" s="182">
        <f>C24/12</f>
        <v>16921.5</v>
      </c>
      <c r="D26" s="183">
        <f>ROUND(D25/160.33,2)</f>
        <v>131.83000000000001</v>
      </c>
      <c r="E26" s="374"/>
      <c r="F26" s="183">
        <f t="shared" ref="F26:O26" si="7">ROUND(F25/160.33,2)</f>
        <v>134.41999999999999</v>
      </c>
      <c r="G26" s="183">
        <f t="shared" si="7"/>
        <v>109.05</v>
      </c>
      <c r="H26" s="183">
        <f t="shared" si="7"/>
        <v>136.22</v>
      </c>
      <c r="I26" s="183">
        <f t="shared" si="7"/>
        <v>111.12</v>
      </c>
      <c r="J26" s="183">
        <f t="shared" si="7"/>
        <v>138.80000000000001</v>
      </c>
      <c r="K26" s="183">
        <f t="shared" si="7"/>
        <v>112.55</v>
      </c>
      <c r="L26" s="183">
        <f t="shared" si="7"/>
        <v>140.59</v>
      </c>
      <c r="M26" s="183">
        <f t="shared" si="7"/>
        <v>0</v>
      </c>
      <c r="N26" s="183">
        <f t="shared" si="7"/>
        <v>0</v>
      </c>
      <c r="O26" s="183">
        <f t="shared" si="7"/>
        <v>122.71</v>
      </c>
    </row>
    <row r="27" spans="1:15">
      <c r="A27" s="2109">
        <v>8</v>
      </c>
      <c r="B27" s="176" t="s">
        <v>93</v>
      </c>
      <c r="C27" s="177">
        <v>206396</v>
      </c>
      <c r="D27" s="181">
        <f>ROUND((C27*(1+'Løntabel gældende fra'!$D$7%)),0)</f>
        <v>257815</v>
      </c>
      <c r="E27" s="179">
        <v>210482</v>
      </c>
      <c r="F27" s="180">
        <f>ROUND((E27*(1+'Løntabel gældende fra'!$D$7%)),0)</f>
        <v>262919</v>
      </c>
      <c r="G27" s="177">
        <v>213311</v>
      </c>
      <c r="H27" s="181">
        <f>ROUND((G27*(1+'Løntabel gældende fra'!$D$7%)),0)</f>
        <v>266452</v>
      </c>
      <c r="I27" s="179">
        <v>217397</v>
      </c>
      <c r="J27" s="180">
        <f>ROUND((I27*(1+'Løntabel gældende fra'!$D$7%)),0)</f>
        <v>271556</v>
      </c>
      <c r="K27" s="177">
        <v>220226</v>
      </c>
      <c r="L27" s="181">
        <f>ROUND((K27*(1+'Løntabel gældende fra'!$D$7%)),0)</f>
        <v>275090</v>
      </c>
      <c r="M27" s="383"/>
      <c r="N27" s="362">
        <v>192139.54</v>
      </c>
      <c r="O27" s="363">
        <f>ROUND(N27*(1+'Løntabel gældende fra'!$D$7%),2)</f>
        <v>240006.5</v>
      </c>
    </row>
    <row r="28" spans="1:15">
      <c r="A28" s="2110"/>
      <c r="B28" s="364" t="s">
        <v>94</v>
      </c>
      <c r="C28" s="369"/>
      <c r="D28" s="376">
        <f>ROUND(D27/12,2)</f>
        <v>21484.58</v>
      </c>
      <c r="E28" s="373">
        <f>E27/12</f>
        <v>17540.166666666668</v>
      </c>
      <c r="F28" s="358">
        <f>ROUND(F27/12,2)</f>
        <v>21909.919999999998</v>
      </c>
      <c r="G28" s="369">
        <f>G27/12</f>
        <v>17775.916666666668</v>
      </c>
      <c r="H28" s="376">
        <f>ROUND(H27/12,2)</f>
        <v>22204.33</v>
      </c>
      <c r="I28" s="373">
        <f>I27/12</f>
        <v>18116.416666666668</v>
      </c>
      <c r="J28" s="358">
        <f>ROUND(J27/12,2)</f>
        <v>22629.67</v>
      </c>
      <c r="K28" s="369">
        <f>K27/12</f>
        <v>18352.166666666668</v>
      </c>
      <c r="L28" s="376">
        <f>ROUND(L27/12,2)</f>
        <v>22924.17</v>
      </c>
      <c r="M28" s="381"/>
      <c r="N28" s="359"/>
      <c r="O28" s="361">
        <f>ROUND(O27/12,2)</f>
        <v>20000.54</v>
      </c>
    </row>
    <row r="29" spans="1:15" ht="15" thickBot="1">
      <c r="A29" s="2113"/>
      <c r="B29" s="365" t="s">
        <v>201</v>
      </c>
      <c r="C29" s="372">
        <f>C27/12</f>
        <v>17199.666666666668</v>
      </c>
      <c r="D29" s="377">
        <f>ROUND(D28/160.33,2)</f>
        <v>134</v>
      </c>
      <c r="E29" s="375"/>
      <c r="F29" s="377">
        <f t="shared" ref="F29:O29" si="8">ROUND(F28/160.33,2)</f>
        <v>136.66</v>
      </c>
      <c r="G29" s="377">
        <f t="shared" si="8"/>
        <v>110.87</v>
      </c>
      <c r="H29" s="377">
        <f t="shared" si="8"/>
        <v>138.49</v>
      </c>
      <c r="I29" s="377">
        <f t="shared" si="8"/>
        <v>112.99</v>
      </c>
      <c r="J29" s="377">
        <f t="shared" si="8"/>
        <v>141.13999999999999</v>
      </c>
      <c r="K29" s="377">
        <f t="shared" si="8"/>
        <v>114.46</v>
      </c>
      <c r="L29" s="377">
        <f t="shared" si="8"/>
        <v>142.97999999999999</v>
      </c>
      <c r="M29" s="377">
        <f t="shared" si="8"/>
        <v>0</v>
      </c>
      <c r="N29" s="377">
        <f t="shared" si="8"/>
        <v>0</v>
      </c>
      <c r="O29" s="377">
        <f t="shared" si="8"/>
        <v>124.75</v>
      </c>
    </row>
    <row r="30" spans="1:15">
      <c r="A30" s="2112">
        <v>9</v>
      </c>
      <c r="B30" s="342" t="s">
        <v>93</v>
      </c>
      <c r="C30" s="185">
        <v>209829</v>
      </c>
      <c r="D30" s="178">
        <f>ROUND((C30*(1+'Løntabel gældende fra'!$D$7%)),0)</f>
        <v>262103</v>
      </c>
      <c r="E30" s="186">
        <v>214015</v>
      </c>
      <c r="F30" s="187">
        <f>ROUND((E30*(1+'Løntabel gældende fra'!$D$7%)),0)</f>
        <v>267332</v>
      </c>
      <c r="G30" s="185">
        <v>216916</v>
      </c>
      <c r="H30" s="178">
        <f>ROUND((G30*(1+'Løntabel gældende fra'!$D$7%)),0)</f>
        <v>270955</v>
      </c>
      <c r="I30" s="186">
        <v>221102</v>
      </c>
      <c r="J30" s="187">
        <f>ROUND((I30*(1+'Løntabel gældende fra'!$D$7%)),0)</f>
        <v>276184</v>
      </c>
      <c r="K30" s="185">
        <v>224002</v>
      </c>
      <c r="L30" s="178">
        <f>ROUND((K30*(1+'Løntabel gældende fra'!$D$7%)),0)</f>
        <v>279807</v>
      </c>
      <c r="M30" s="382"/>
      <c r="N30" s="360">
        <v>195355.31</v>
      </c>
      <c r="O30" s="192">
        <f>ROUND(N30*(1+'Løntabel gældende fra'!$D$7%),2)</f>
        <v>244023.4</v>
      </c>
    </row>
    <row r="31" spans="1:15">
      <c r="A31" s="2110"/>
      <c r="B31" s="364" t="s">
        <v>206</v>
      </c>
      <c r="C31" s="369"/>
      <c r="D31" s="376">
        <f>ROUND(D30/12,2)</f>
        <v>21841.919999999998</v>
      </c>
      <c r="E31" s="373">
        <f>E30/12</f>
        <v>17834.583333333332</v>
      </c>
      <c r="F31" s="358">
        <f>ROUND(F30/12,2)</f>
        <v>22277.67</v>
      </c>
      <c r="G31" s="369">
        <f>G30/12</f>
        <v>18076.333333333332</v>
      </c>
      <c r="H31" s="376">
        <f>ROUND(H30/12,2)</f>
        <v>22579.58</v>
      </c>
      <c r="I31" s="373">
        <f>I30/12</f>
        <v>18425.166666666668</v>
      </c>
      <c r="J31" s="358">
        <f>ROUND(J30/12,2)</f>
        <v>23015.33</v>
      </c>
      <c r="K31" s="369">
        <f>K30/12</f>
        <v>18666.833333333332</v>
      </c>
      <c r="L31" s="376">
        <f>ROUND(L30/12,2)</f>
        <v>23317.25</v>
      </c>
      <c r="M31" s="381"/>
      <c r="N31" s="359"/>
      <c r="O31" s="361">
        <f>ROUND(O30/12,2)</f>
        <v>20335.28</v>
      </c>
    </row>
    <row r="32" spans="1:15" ht="15" thickBot="1">
      <c r="A32" s="2111"/>
      <c r="B32" s="344" t="s">
        <v>201</v>
      </c>
      <c r="C32" s="182">
        <f>C30/12</f>
        <v>17485.75</v>
      </c>
      <c r="D32" s="183">
        <f>ROUND(D31/160.33,2)</f>
        <v>136.22999999999999</v>
      </c>
      <c r="E32" s="374"/>
      <c r="F32" s="183">
        <f t="shared" ref="F32:O32" si="9">ROUND(F31/160.33,2)</f>
        <v>138.94999999999999</v>
      </c>
      <c r="G32" s="183">
        <f t="shared" si="9"/>
        <v>112.74</v>
      </c>
      <c r="H32" s="183">
        <f t="shared" si="9"/>
        <v>140.83000000000001</v>
      </c>
      <c r="I32" s="183">
        <f t="shared" si="9"/>
        <v>114.92</v>
      </c>
      <c r="J32" s="183">
        <f t="shared" si="9"/>
        <v>143.55000000000001</v>
      </c>
      <c r="K32" s="183">
        <f t="shared" si="9"/>
        <v>116.43</v>
      </c>
      <c r="L32" s="183">
        <f t="shared" si="9"/>
        <v>145.43</v>
      </c>
      <c r="M32" s="183">
        <f t="shared" si="9"/>
        <v>0</v>
      </c>
      <c r="N32" s="183">
        <f t="shared" si="9"/>
        <v>0</v>
      </c>
      <c r="O32" s="183">
        <f t="shared" si="9"/>
        <v>126.83</v>
      </c>
    </row>
    <row r="33" spans="1:15">
      <c r="A33" s="2109">
        <v>10</v>
      </c>
      <c r="B33" s="176" t="s">
        <v>93</v>
      </c>
      <c r="C33" s="177">
        <v>213353</v>
      </c>
      <c r="D33" s="181">
        <f>ROUND((C33*(1+'Løntabel gældende fra'!$D$7%)),0)</f>
        <v>266505</v>
      </c>
      <c r="E33" s="179">
        <v>217646</v>
      </c>
      <c r="F33" s="180">
        <f>ROUND((E33*(1+'Løntabel gældende fra'!$D$7%)),0)</f>
        <v>271867</v>
      </c>
      <c r="G33" s="177">
        <v>220617</v>
      </c>
      <c r="H33" s="181">
        <f>ROUND((G33*(1+'Løntabel gældende fra'!$D$7%)),0)</f>
        <v>275578</v>
      </c>
      <c r="I33" s="179">
        <v>224909</v>
      </c>
      <c r="J33" s="180">
        <f>ROUND((I33*(1+'Løntabel gældende fra'!$D$7%)),0)</f>
        <v>280940</v>
      </c>
      <c r="K33" s="177">
        <v>227882</v>
      </c>
      <c r="L33" s="181">
        <f>ROUND((K33*(1+'Løntabel gældende fra'!$D$7%)),0)</f>
        <v>284653</v>
      </c>
      <c r="M33" s="383"/>
      <c r="N33" s="362">
        <v>198659.5</v>
      </c>
      <c r="O33" s="363">
        <f>ROUND(N33*(1+'Løntabel gældende fra'!$D$7%),2)</f>
        <v>248150.75</v>
      </c>
    </row>
    <row r="34" spans="1:15">
      <c r="A34" s="2110"/>
      <c r="B34" s="364" t="s">
        <v>94</v>
      </c>
      <c r="C34" s="369"/>
      <c r="D34" s="376">
        <f>ROUND(D33/12,2)</f>
        <v>22208.75</v>
      </c>
      <c r="E34" s="373">
        <f>E33/12</f>
        <v>18137.166666666668</v>
      </c>
      <c r="F34" s="358">
        <f>ROUND(F33/12,2)</f>
        <v>22655.58</v>
      </c>
      <c r="G34" s="369">
        <f>G33/12</f>
        <v>18384.75</v>
      </c>
      <c r="H34" s="376">
        <f>ROUND(H33/12,2)</f>
        <v>22964.83</v>
      </c>
      <c r="I34" s="373">
        <f>I33/12</f>
        <v>18742.416666666668</v>
      </c>
      <c r="J34" s="358">
        <f>ROUND(J33/12,2)</f>
        <v>23411.67</v>
      </c>
      <c r="K34" s="369">
        <f>K33/12</f>
        <v>18990.166666666668</v>
      </c>
      <c r="L34" s="376">
        <f>ROUND(L33/12,2)</f>
        <v>23721.08</v>
      </c>
      <c r="M34" s="381"/>
      <c r="N34" s="359"/>
      <c r="O34" s="361">
        <f>ROUND(O33/12,2)</f>
        <v>20679.23</v>
      </c>
    </row>
    <row r="35" spans="1:15" ht="15" thickBot="1">
      <c r="A35" s="2113"/>
      <c r="B35" s="365" t="s">
        <v>201</v>
      </c>
      <c r="C35" s="372">
        <f>C33/12</f>
        <v>17779.416666666668</v>
      </c>
      <c r="D35" s="377">
        <f>ROUND(D34/160.33,2)</f>
        <v>138.52000000000001</v>
      </c>
      <c r="E35" s="375"/>
      <c r="F35" s="377">
        <f t="shared" ref="F35:O35" si="10">ROUND(F34/160.33,2)</f>
        <v>141.31</v>
      </c>
      <c r="G35" s="377">
        <f t="shared" si="10"/>
        <v>114.67</v>
      </c>
      <c r="H35" s="377">
        <f t="shared" si="10"/>
        <v>143.22999999999999</v>
      </c>
      <c r="I35" s="377">
        <f t="shared" si="10"/>
        <v>116.9</v>
      </c>
      <c r="J35" s="377">
        <f t="shared" si="10"/>
        <v>146.02000000000001</v>
      </c>
      <c r="K35" s="377">
        <f t="shared" si="10"/>
        <v>118.44</v>
      </c>
      <c r="L35" s="377">
        <f t="shared" si="10"/>
        <v>147.94999999999999</v>
      </c>
      <c r="M35" s="377">
        <f t="shared" si="10"/>
        <v>0</v>
      </c>
      <c r="N35" s="377">
        <f t="shared" si="10"/>
        <v>0</v>
      </c>
      <c r="O35" s="377">
        <f t="shared" si="10"/>
        <v>128.97999999999999</v>
      </c>
    </row>
    <row r="36" spans="1:15">
      <c r="A36" s="2112">
        <v>11</v>
      </c>
      <c r="B36" s="342" t="s">
        <v>93</v>
      </c>
      <c r="C36" s="185">
        <v>216134</v>
      </c>
      <c r="D36" s="178">
        <f>ROUND((C36*(1+'Løntabel gældende fra'!$D$7%)),0)</f>
        <v>269979</v>
      </c>
      <c r="E36" s="186">
        <v>220533</v>
      </c>
      <c r="F36" s="187">
        <f>ROUND((E36*(1+'Løntabel gældende fra'!$D$7%)),0)</f>
        <v>275474</v>
      </c>
      <c r="G36" s="185">
        <v>223579</v>
      </c>
      <c r="H36" s="178">
        <f>ROUND((G36*(1+'Løntabel gældende fra'!$D$7%)),0)</f>
        <v>279278</v>
      </c>
      <c r="I36" s="186">
        <v>227978</v>
      </c>
      <c r="J36" s="187">
        <f>ROUND((I36*(1+'Løntabel gældende fra'!$D$7%)),0)</f>
        <v>284773</v>
      </c>
      <c r="K36" s="185">
        <v>231023</v>
      </c>
      <c r="L36" s="178">
        <f>ROUND((K36*(1+'Løntabel gældende fra'!$D$7%)),0)</f>
        <v>288577</v>
      </c>
      <c r="M36" s="382"/>
      <c r="N36" s="360">
        <v>202053.93</v>
      </c>
      <c r="O36" s="192">
        <f>ROUND(N36*(1+'Løntabel gældende fra'!$D$7%),2)</f>
        <v>252390.82</v>
      </c>
    </row>
    <row r="37" spans="1:15">
      <c r="A37" s="2110"/>
      <c r="B37" s="364" t="s">
        <v>206</v>
      </c>
      <c r="C37" s="369"/>
      <c r="D37" s="376">
        <f>ROUND(D36/12,2)</f>
        <v>22498.25</v>
      </c>
      <c r="E37" s="373">
        <f>E36/12</f>
        <v>18377.75</v>
      </c>
      <c r="F37" s="358">
        <f>ROUND(F36/12,2)</f>
        <v>22956.17</v>
      </c>
      <c r="G37" s="369">
        <f>G36/12</f>
        <v>18631.583333333332</v>
      </c>
      <c r="H37" s="376">
        <f>ROUND(H36/12,2)</f>
        <v>23273.17</v>
      </c>
      <c r="I37" s="373">
        <f>I36/12</f>
        <v>18998.166666666668</v>
      </c>
      <c r="J37" s="358">
        <f>ROUND(J36/12,2)</f>
        <v>23731.08</v>
      </c>
      <c r="K37" s="369">
        <f>K36/12</f>
        <v>19251.916666666668</v>
      </c>
      <c r="L37" s="376">
        <f>ROUND(L36/12,2)</f>
        <v>24048.080000000002</v>
      </c>
      <c r="M37" s="381"/>
      <c r="N37" s="359"/>
      <c r="O37" s="361">
        <f>ROUND(O36/12,2)</f>
        <v>21032.57</v>
      </c>
    </row>
    <row r="38" spans="1:15" ht="15" thickBot="1">
      <c r="A38" s="2111"/>
      <c r="B38" s="344" t="s">
        <v>201</v>
      </c>
      <c r="C38" s="182">
        <f>C36/12</f>
        <v>18011.166666666668</v>
      </c>
      <c r="D38" s="183">
        <f>ROUND(D37/160.33,2)</f>
        <v>140.32</v>
      </c>
      <c r="E38" s="374"/>
      <c r="F38" s="183">
        <f t="shared" ref="F38:O38" si="11">ROUND(F37/160.33,2)</f>
        <v>143.18</v>
      </c>
      <c r="G38" s="183">
        <f t="shared" si="11"/>
        <v>116.21</v>
      </c>
      <c r="H38" s="183">
        <f t="shared" si="11"/>
        <v>145.16</v>
      </c>
      <c r="I38" s="183">
        <f t="shared" si="11"/>
        <v>118.49</v>
      </c>
      <c r="J38" s="183">
        <f t="shared" si="11"/>
        <v>148.01</v>
      </c>
      <c r="K38" s="183">
        <f t="shared" si="11"/>
        <v>120.08</v>
      </c>
      <c r="L38" s="183">
        <f t="shared" si="11"/>
        <v>149.99</v>
      </c>
      <c r="M38" s="183">
        <f t="shared" si="11"/>
        <v>0</v>
      </c>
      <c r="N38" s="183">
        <f t="shared" si="11"/>
        <v>0</v>
      </c>
      <c r="O38" s="183">
        <f t="shared" si="11"/>
        <v>131.18</v>
      </c>
    </row>
    <row r="39" spans="1:15">
      <c r="A39" s="2109">
        <v>12</v>
      </c>
      <c r="B39" s="176" t="s">
        <v>93</v>
      </c>
      <c r="C39" s="177">
        <v>219855</v>
      </c>
      <c r="D39" s="181">
        <f>ROUND((C39*(1+'Løntabel gældende fra'!$D$7%)),0)</f>
        <v>274627</v>
      </c>
      <c r="E39" s="179">
        <v>224365</v>
      </c>
      <c r="F39" s="180">
        <f>ROUND((E39*(1+'Løntabel gældende fra'!$D$7%)),0)</f>
        <v>280260</v>
      </c>
      <c r="G39" s="177">
        <v>227489</v>
      </c>
      <c r="H39" s="181">
        <f>ROUND((G39*(1+'Løntabel gældende fra'!$D$7%)),0)</f>
        <v>284162</v>
      </c>
      <c r="I39" s="179">
        <v>231997</v>
      </c>
      <c r="J39" s="180">
        <f>ROUND((I39*(1+'Løntabel gældende fra'!$D$7%)),0)</f>
        <v>289793</v>
      </c>
      <c r="K39" s="177">
        <v>235119</v>
      </c>
      <c r="L39" s="181">
        <f>ROUND((K39*(1+'Løntabel gældende fra'!$D$7%)),0)</f>
        <v>293693</v>
      </c>
      <c r="M39" s="383"/>
      <c r="N39" s="362">
        <v>205542.18</v>
      </c>
      <c r="O39" s="363">
        <f>ROUND(N39*(1+'Løntabel gældende fra'!$D$7%),2)</f>
        <v>256748.08</v>
      </c>
    </row>
    <row r="40" spans="1:15">
      <c r="A40" s="2110"/>
      <c r="B40" s="364" t="s">
        <v>94</v>
      </c>
      <c r="C40" s="369"/>
      <c r="D40" s="376">
        <f>ROUND(D39/12,2)</f>
        <v>22885.58</v>
      </c>
      <c r="E40" s="373">
        <f>E39/12</f>
        <v>18697.083333333332</v>
      </c>
      <c r="F40" s="358">
        <f>ROUND(F39/12,2)</f>
        <v>23355</v>
      </c>
      <c r="G40" s="369">
        <f>G39/12</f>
        <v>18957.416666666668</v>
      </c>
      <c r="H40" s="376">
        <f>ROUND(H39/12,2)</f>
        <v>23680.17</v>
      </c>
      <c r="I40" s="373">
        <f>I39/12</f>
        <v>19333.083333333332</v>
      </c>
      <c r="J40" s="358">
        <f>ROUND(J39/12,2)</f>
        <v>24149.42</v>
      </c>
      <c r="K40" s="369">
        <f>K39/12</f>
        <v>19593.25</v>
      </c>
      <c r="L40" s="376">
        <f>ROUND(L39/12,2)</f>
        <v>24474.42</v>
      </c>
      <c r="M40" s="381"/>
      <c r="N40" s="359"/>
      <c r="O40" s="361">
        <f>ROUND(O39/12,2)</f>
        <v>21395.67</v>
      </c>
    </row>
    <row r="41" spans="1:15" ht="15" thickBot="1">
      <c r="A41" s="2113"/>
      <c r="B41" s="365" t="s">
        <v>201</v>
      </c>
      <c r="C41" s="372">
        <f>C39/12</f>
        <v>18321.25</v>
      </c>
      <c r="D41" s="377">
        <f>ROUND(D40/160.33,2)</f>
        <v>142.74</v>
      </c>
      <c r="E41" s="377">
        <f t="shared" ref="E41:O41" si="12">ROUND(E40/160.33,2)</f>
        <v>116.62</v>
      </c>
      <c r="F41" s="377">
        <f t="shared" si="12"/>
        <v>145.66999999999999</v>
      </c>
      <c r="G41" s="377">
        <f t="shared" si="12"/>
        <v>118.24</v>
      </c>
      <c r="H41" s="377">
        <f t="shared" si="12"/>
        <v>147.69999999999999</v>
      </c>
      <c r="I41" s="377">
        <f t="shared" si="12"/>
        <v>120.58</v>
      </c>
      <c r="J41" s="377">
        <f t="shared" si="12"/>
        <v>150.62</v>
      </c>
      <c r="K41" s="377">
        <f t="shared" si="12"/>
        <v>122.21</v>
      </c>
      <c r="L41" s="377">
        <f t="shared" si="12"/>
        <v>152.65</v>
      </c>
      <c r="M41" s="377">
        <f t="shared" si="12"/>
        <v>0</v>
      </c>
      <c r="N41" s="377">
        <f t="shared" si="12"/>
        <v>0</v>
      </c>
      <c r="O41" s="377">
        <f t="shared" si="12"/>
        <v>133.44999999999999</v>
      </c>
    </row>
    <row r="42" spans="1:15">
      <c r="A42" s="2112">
        <v>13</v>
      </c>
      <c r="B42" s="342" t="s">
        <v>93</v>
      </c>
      <c r="C42" s="185">
        <v>223681</v>
      </c>
      <c r="D42" s="178">
        <f>ROUND((C42*(1+'Løntabel gældende fra'!$D$7%)),0)</f>
        <v>279406</v>
      </c>
      <c r="E42" s="186">
        <v>228304</v>
      </c>
      <c r="F42" s="187">
        <f>ROUND((E42*(1+'Løntabel gældende fra'!$D$7%)),0)</f>
        <v>285180</v>
      </c>
      <c r="G42" s="185">
        <v>231504</v>
      </c>
      <c r="H42" s="178">
        <f>ROUND((G42*(1+'Løntabel gældende fra'!$D$7%)),0)</f>
        <v>289178</v>
      </c>
      <c r="I42" s="186">
        <v>236129</v>
      </c>
      <c r="J42" s="187">
        <f>ROUND((I42*(1+'Løntabel gældende fra'!$D$7%)),0)</f>
        <v>294955</v>
      </c>
      <c r="K42" s="185">
        <v>239328</v>
      </c>
      <c r="L42" s="178">
        <f>ROUND((K42*(1+'Løntabel gældende fra'!$D$7%)),0)</f>
        <v>298951</v>
      </c>
      <c r="M42" s="382"/>
      <c r="N42" s="360">
        <v>209126.09</v>
      </c>
      <c r="O42" s="192">
        <f>ROUND(N42*(1+'Løntabel gældende fra'!$D$7%),2)</f>
        <v>261224.84</v>
      </c>
    </row>
    <row r="43" spans="1:15">
      <c r="A43" s="2110"/>
      <c r="B43" s="364" t="s">
        <v>206</v>
      </c>
      <c r="C43" s="369"/>
      <c r="D43" s="376">
        <f>ROUND(D42/12,2)</f>
        <v>23283.83</v>
      </c>
      <c r="E43" s="373">
        <f>E42/12</f>
        <v>19025.333333333332</v>
      </c>
      <c r="F43" s="358">
        <f>ROUND(F42/12,2)</f>
        <v>23765</v>
      </c>
      <c r="G43" s="369">
        <f>G42/12</f>
        <v>19292</v>
      </c>
      <c r="H43" s="376">
        <f>ROUND(H42/12,2)</f>
        <v>24098.17</v>
      </c>
      <c r="I43" s="373">
        <f>I42/12</f>
        <v>19677.416666666668</v>
      </c>
      <c r="J43" s="358">
        <f>ROUND(J42/12,2)</f>
        <v>24579.58</v>
      </c>
      <c r="K43" s="369">
        <f>K42/12</f>
        <v>19944</v>
      </c>
      <c r="L43" s="376">
        <f>ROUND(L42/12,2)</f>
        <v>24912.58</v>
      </c>
      <c r="M43" s="381"/>
      <c r="N43" s="359"/>
      <c r="O43" s="361">
        <f>ROUND(O42/12,2)</f>
        <v>21768.74</v>
      </c>
    </row>
    <row r="44" spans="1:15" ht="15" thickBot="1">
      <c r="A44" s="2111"/>
      <c r="B44" s="344" t="s">
        <v>201</v>
      </c>
      <c r="C44" s="182">
        <f>C42/12</f>
        <v>18640.083333333332</v>
      </c>
      <c r="D44" s="183">
        <f>ROUND(D43/160.33,2)</f>
        <v>145.22</v>
      </c>
      <c r="E44" s="374"/>
      <c r="F44" s="183">
        <f t="shared" ref="F44:O44" si="13">ROUND(F43/160.33,2)</f>
        <v>148.22999999999999</v>
      </c>
      <c r="G44" s="183">
        <f t="shared" si="13"/>
        <v>120.33</v>
      </c>
      <c r="H44" s="183">
        <f t="shared" si="13"/>
        <v>150.30000000000001</v>
      </c>
      <c r="I44" s="183">
        <f t="shared" si="13"/>
        <v>122.73</v>
      </c>
      <c r="J44" s="183">
        <f t="shared" si="13"/>
        <v>153.31</v>
      </c>
      <c r="K44" s="183">
        <f t="shared" si="13"/>
        <v>124.39</v>
      </c>
      <c r="L44" s="183">
        <f t="shared" si="13"/>
        <v>155.38</v>
      </c>
      <c r="M44" s="183">
        <f t="shared" si="13"/>
        <v>0</v>
      </c>
      <c r="N44" s="183">
        <f t="shared" si="13"/>
        <v>0</v>
      </c>
      <c r="O44" s="183">
        <f t="shared" si="13"/>
        <v>135.77000000000001</v>
      </c>
    </row>
    <row r="45" spans="1:15">
      <c r="A45" s="2112">
        <v>14</v>
      </c>
      <c r="B45" s="342" t="s">
        <v>93</v>
      </c>
      <c r="C45" s="185">
        <v>227611</v>
      </c>
      <c r="D45" s="178">
        <f>ROUND((C45*(1+'Løntabel gældende fra'!$D$7%)),0)</f>
        <v>284315</v>
      </c>
      <c r="E45" s="186">
        <v>232351</v>
      </c>
      <c r="F45" s="187">
        <f>ROUND((E45*(1+'Løntabel gældende fra'!$D$7%)),0)</f>
        <v>290236</v>
      </c>
      <c r="G45" s="185">
        <v>235632</v>
      </c>
      <c r="H45" s="178">
        <f>ROUND((G45*(1+'Løntabel gældende fra'!$D$7%)),0)</f>
        <v>294334</v>
      </c>
      <c r="I45" s="186">
        <v>240371</v>
      </c>
      <c r="J45" s="187">
        <f>ROUND((I45*(1+'Løntabel gældende fra'!$D$7%)),0)</f>
        <v>300254</v>
      </c>
      <c r="K45" s="185">
        <v>243652</v>
      </c>
      <c r="L45" s="178">
        <f>ROUND((K45*(1+'Løntabel gældende fra'!$D$7%)),0)</f>
        <v>304352</v>
      </c>
      <c r="M45" s="382"/>
      <c r="N45" s="360">
        <v>212809.24</v>
      </c>
      <c r="O45" s="192">
        <f>ROUND(N45*(1+'Løntabel gældende fra'!$D$7%),2)</f>
        <v>265825.55</v>
      </c>
    </row>
    <row r="46" spans="1:15">
      <c r="A46" s="2110"/>
      <c r="B46" s="364" t="s">
        <v>206</v>
      </c>
      <c r="C46" s="369"/>
      <c r="D46" s="376">
        <f>ROUND(D45/12,2)</f>
        <v>23692.92</v>
      </c>
      <c r="E46" s="373">
        <f>E45/12</f>
        <v>19362.583333333332</v>
      </c>
      <c r="F46" s="358">
        <f>ROUND(F45/12,2)</f>
        <v>24186.33</v>
      </c>
      <c r="G46" s="369">
        <f>G45/12</f>
        <v>19636</v>
      </c>
      <c r="H46" s="376">
        <f>ROUND(H45/12,2)</f>
        <v>24527.83</v>
      </c>
      <c r="I46" s="373">
        <f>I45/12</f>
        <v>20030.916666666668</v>
      </c>
      <c r="J46" s="358">
        <f>ROUND(J45/12,2)</f>
        <v>25021.17</v>
      </c>
      <c r="K46" s="369">
        <f>K45/12</f>
        <v>20304.333333333332</v>
      </c>
      <c r="L46" s="376">
        <f>ROUND(L45/12,2)</f>
        <v>25362.67</v>
      </c>
      <c r="M46" s="381"/>
      <c r="N46" s="359"/>
      <c r="O46" s="361">
        <f>ROUND(O45/12,2)</f>
        <v>22152.13</v>
      </c>
    </row>
    <row r="47" spans="1:15" ht="15" thickBot="1">
      <c r="A47" s="2111"/>
      <c r="B47" s="344" t="s">
        <v>201</v>
      </c>
      <c r="C47" s="182">
        <f>C45/12</f>
        <v>18967.583333333332</v>
      </c>
      <c r="D47" s="183">
        <f>ROUND(D46/160.33,2)</f>
        <v>147.78</v>
      </c>
      <c r="E47" s="374"/>
      <c r="F47" s="183">
        <f t="shared" ref="F47:O47" si="14">ROUND(F46/160.33,2)</f>
        <v>150.85</v>
      </c>
      <c r="G47" s="183">
        <f t="shared" si="14"/>
        <v>122.47</v>
      </c>
      <c r="H47" s="183">
        <f t="shared" si="14"/>
        <v>152.97999999999999</v>
      </c>
      <c r="I47" s="183">
        <f t="shared" si="14"/>
        <v>124.94</v>
      </c>
      <c r="J47" s="183">
        <f t="shared" si="14"/>
        <v>156.06</v>
      </c>
      <c r="K47" s="183">
        <f t="shared" si="14"/>
        <v>126.64</v>
      </c>
      <c r="L47" s="183">
        <f t="shared" si="14"/>
        <v>158.19</v>
      </c>
      <c r="M47" s="183">
        <f t="shared" si="14"/>
        <v>0</v>
      </c>
      <c r="N47" s="183">
        <f t="shared" si="14"/>
        <v>0</v>
      </c>
      <c r="O47" s="183">
        <f t="shared" si="14"/>
        <v>138.16999999999999</v>
      </c>
    </row>
    <row r="48" spans="1:15">
      <c r="A48" s="2112">
        <v>15</v>
      </c>
      <c r="B48" s="342" t="s">
        <v>93</v>
      </c>
      <c r="C48" s="185">
        <v>231649</v>
      </c>
      <c r="D48" s="178">
        <f>ROUND((C48*(1+'Løntabel gældende fra'!$D$7%)),0)</f>
        <v>289359</v>
      </c>
      <c r="E48" s="186">
        <v>236507</v>
      </c>
      <c r="F48" s="187">
        <f>ROUND((E48*(1+'Løntabel gældende fra'!$D$7%)),0)</f>
        <v>295427</v>
      </c>
      <c r="G48" s="185">
        <v>239870</v>
      </c>
      <c r="H48" s="178">
        <f>ROUND((G48*(1+'Løntabel gældende fra'!$D$7%)),0)</f>
        <v>299628</v>
      </c>
      <c r="I48" s="186">
        <v>244730</v>
      </c>
      <c r="J48" s="187">
        <f>ROUND((I48*(1+'Løntabel gældende fra'!$D$7%)),0)</f>
        <v>305699</v>
      </c>
      <c r="K48" s="185">
        <v>248094</v>
      </c>
      <c r="L48" s="178">
        <f>ROUND((K48*(1+'Løntabel gældende fra'!$D$7%)),0)</f>
        <v>309901</v>
      </c>
      <c r="M48" s="382"/>
      <c r="N48" s="360">
        <v>216591.65</v>
      </c>
      <c r="O48" s="192">
        <f>ROUND(N48*(1+'Løntabel gældende fra'!$D$7%),2)</f>
        <v>270550.26</v>
      </c>
    </row>
    <row r="49" spans="1:15">
      <c r="A49" s="2110"/>
      <c r="B49" s="364" t="s">
        <v>94</v>
      </c>
      <c r="C49" s="369"/>
      <c r="D49" s="376">
        <f>ROUND(D48/12,2)</f>
        <v>24113.25</v>
      </c>
      <c r="E49" s="373">
        <f>E48/12</f>
        <v>19708.916666666668</v>
      </c>
      <c r="F49" s="358">
        <f>ROUND(F48/12,2)</f>
        <v>24618.92</v>
      </c>
      <c r="G49" s="369">
        <f>G48/12</f>
        <v>19989.166666666668</v>
      </c>
      <c r="H49" s="376">
        <f>ROUND(H48/12,2)</f>
        <v>24969</v>
      </c>
      <c r="I49" s="373">
        <f>I48/12</f>
        <v>20394.166666666668</v>
      </c>
      <c r="J49" s="358">
        <f>ROUND(J48/12,2)</f>
        <v>25474.92</v>
      </c>
      <c r="K49" s="369">
        <f>K48/12</f>
        <v>20674.5</v>
      </c>
      <c r="L49" s="376">
        <f>ROUND(L48/12,2)</f>
        <v>25825.08</v>
      </c>
      <c r="M49" s="381"/>
      <c r="N49" s="359"/>
      <c r="O49" s="361">
        <f>ROUND(O48/12,2)</f>
        <v>22545.86</v>
      </c>
    </row>
    <row r="50" spans="1:15" ht="15" thickBot="1">
      <c r="A50" s="2111"/>
      <c r="B50" s="344" t="s">
        <v>201</v>
      </c>
      <c r="C50" s="182">
        <f>C48/12</f>
        <v>19304.083333333332</v>
      </c>
      <c r="D50" s="183">
        <f>ROUND(D49/160.33,2)</f>
        <v>150.4</v>
      </c>
      <c r="E50" s="374"/>
      <c r="F50" s="183">
        <f t="shared" ref="F50:O50" si="15">ROUND(F49/160.33,2)</f>
        <v>153.55000000000001</v>
      </c>
      <c r="G50" s="183">
        <f t="shared" si="15"/>
        <v>124.68</v>
      </c>
      <c r="H50" s="183">
        <f t="shared" si="15"/>
        <v>155.74</v>
      </c>
      <c r="I50" s="183">
        <f t="shared" si="15"/>
        <v>127.2</v>
      </c>
      <c r="J50" s="183">
        <f t="shared" si="15"/>
        <v>158.88999999999999</v>
      </c>
      <c r="K50" s="183">
        <f t="shared" si="15"/>
        <v>128.94999999999999</v>
      </c>
      <c r="L50" s="183">
        <f t="shared" si="15"/>
        <v>161.07</v>
      </c>
      <c r="M50" s="183">
        <f t="shared" si="15"/>
        <v>0</v>
      </c>
      <c r="N50" s="183">
        <f t="shared" si="15"/>
        <v>0</v>
      </c>
      <c r="O50" s="183">
        <f t="shared" si="15"/>
        <v>140.62</v>
      </c>
    </row>
    <row r="51" spans="1:15">
      <c r="A51" s="2112">
        <v>16</v>
      </c>
      <c r="B51" s="342" t="s">
        <v>93</v>
      </c>
      <c r="C51" s="185">
        <v>234743</v>
      </c>
      <c r="D51" s="178">
        <f>ROUND((C51*(1+'Løntabel gældende fra'!$D$7%)),0)</f>
        <v>293224</v>
      </c>
      <c r="E51" s="186">
        <v>239725</v>
      </c>
      <c r="F51" s="187">
        <f>ROUND((E51*(1+'Løntabel gældende fra'!$D$7%)),0)</f>
        <v>299447</v>
      </c>
      <c r="G51" s="185">
        <v>243175</v>
      </c>
      <c r="H51" s="178">
        <f>ROUND((G51*(1+'Løntabel gældende fra'!$D$7%)),0)</f>
        <v>303756</v>
      </c>
      <c r="I51" s="186">
        <v>248156</v>
      </c>
      <c r="J51" s="187">
        <f>ROUND((I51*(1+'Løntabel gældende fra'!$D$7%)),0)</f>
        <v>309978</v>
      </c>
      <c r="K51" s="185">
        <v>251606</v>
      </c>
      <c r="L51" s="178">
        <f>ROUND((K51*(1+'Løntabel gældende fra'!$D$7%)),0)</f>
        <v>314288</v>
      </c>
      <c r="M51" s="382"/>
      <c r="N51" s="360">
        <v>220480.52</v>
      </c>
      <c r="O51" s="192">
        <f>ROUND(N51*(1+'Løntabel gældende fra'!$D$7%),2)</f>
        <v>275407.95</v>
      </c>
    </row>
    <row r="52" spans="1:15">
      <c r="A52" s="2110"/>
      <c r="B52" s="364" t="s">
        <v>206</v>
      </c>
      <c r="C52" s="369"/>
      <c r="D52" s="376">
        <f>ROUND(D51/12,2)</f>
        <v>24435.33</v>
      </c>
      <c r="E52" s="373">
        <f>E51/12</f>
        <v>19977.083333333332</v>
      </c>
      <c r="F52" s="358">
        <f>ROUND(F51/12,2)</f>
        <v>24953.919999999998</v>
      </c>
      <c r="G52" s="369">
        <f>G51/12</f>
        <v>20264.583333333332</v>
      </c>
      <c r="H52" s="376">
        <f>ROUND(H51/12,2)</f>
        <v>25313</v>
      </c>
      <c r="I52" s="373">
        <f>I51/12</f>
        <v>20679.666666666668</v>
      </c>
      <c r="J52" s="358">
        <f>ROUND(J51/12,2)</f>
        <v>25831.5</v>
      </c>
      <c r="K52" s="369">
        <f>K51/12</f>
        <v>20967.166666666668</v>
      </c>
      <c r="L52" s="376">
        <f>ROUND(L51/12,2)</f>
        <v>26190.67</v>
      </c>
      <c r="M52" s="381"/>
      <c r="N52" s="359"/>
      <c r="O52" s="361">
        <f>ROUND(O51/12,2)</f>
        <v>22950.66</v>
      </c>
    </row>
    <row r="53" spans="1:15" ht="15" thickBot="1">
      <c r="A53" s="2111"/>
      <c r="B53" s="344" t="s">
        <v>201</v>
      </c>
      <c r="C53" s="182">
        <f>C51/12</f>
        <v>19561.916666666668</v>
      </c>
      <c r="D53" s="183">
        <f>ROUND(D52/160.33,2)</f>
        <v>152.41</v>
      </c>
      <c r="E53" s="374"/>
      <c r="F53" s="183">
        <f t="shared" ref="F53:O53" si="16">ROUND(F52/160.33,2)</f>
        <v>155.63999999999999</v>
      </c>
      <c r="G53" s="183">
        <f t="shared" si="16"/>
        <v>126.39</v>
      </c>
      <c r="H53" s="183">
        <f t="shared" si="16"/>
        <v>157.88</v>
      </c>
      <c r="I53" s="183">
        <f t="shared" si="16"/>
        <v>128.97999999999999</v>
      </c>
      <c r="J53" s="183">
        <f t="shared" si="16"/>
        <v>161.11000000000001</v>
      </c>
      <c r="K53" s="183">
        <f t="shared" si="16"/>
        <v>130.78</v>
      </c>
      <c r="L53" s="183">
        <f t="shared" si="16"/>
        <v>163.35</v>
      </c>
      <c r="M53" s="183">
        <f t="shared" si="16"/>
        <v>0</v>
      </c>
      <c r="N53" s="183">
        <f t="shared" si="16"/>
        <v>0</v>
      </c>
      <c r="O53" s="183">
        <f t="shared" si="16"/>
        <v>143.15</v>
      </c>
    </row>
    <row r="54" spans="1:15">
      <c r="A54" s="2109">
        <v>17</v>
      </c>
      <c r="B54" s="176" t="s">
        <v>93</v>
      </c>
      <c r="C54" s="177">
        <v>239005</v>
      </c>
      <c r="D54" s="181">
        <f>ROUND((C54*(1+'Løntabel gældende fra'!$D$7%)),0)</f>
        <v>298547</v>
      </c>
      <c r="E54" s="179">
        <v>244114</v>
      </c>
      <c r="F54" s="180">
        <f>ROUND((E54*(1+'Løntabel gældende fra'!$D$7%)),0)</f>
        <v>304929</v>
      </c>
      <c r="G54" s="177">
        <v>247651</v>
      </c>
      <c r="H54" s="181">
        <f>ROUND((G54*(1+'Løntabel gældende fra'!$D$7%)),0)</f>
        <v>309347</v>
      </c>
      <c r="I54" s="179">
        <v>252759</v>
      </c>
      <c r="J54" s="180">
        <f>ROUND((I54*(1+'Løntabel gældende fra'!$D$7%)),0)</f>
        <v>315728</v>
      </c>
      <c r="K54" s="177">
        <v>256294</v>
      </c>
      <c r="L54" s="181">
        <f>ROUND((K54*(1+'Løntabel gældende fra'!$D$7%)),0)</f>
        <v>320143</v>
      </c>
      <c r="M54" s="383"/>
      <c r="N54" s="362">
        <v>224474.06</v>
      </c>
      <c r="O54" s="363">
        <f>ROUND(N54*(1+'Løntabel gældende fra'!$D$7%),2)</f>
        <v>280396.38</v>
      </c>
    </row>
    <row r="55" spans="1:15">
      <c r="A55" s="2110"/>
      <c r="B55" s="364" t="s">
        <v>206</v>
      </c>
      <c r="C55" s="369"/>
      <c r="D55" s="376">
        <f>ROUND(D54/12,2)</f>
        <v>24878.92</v>
      </c>
      <c r="E55" s="373">
        <f>E54/12</f>
        <v>20342.833333333332</v>
      </c>
      <c r="F55" s="358">
        <f>ROUND(F54/12,2)</f>
        <v>25410.75</v>
      </c>
      <c r="G55" s="369">
        <f>G54/12</f>
        <v>20637.583333333332</v>
      </c>
      <c r="H55" s="376">
        <f>ROUND(H54/12,2)</f>
        <v>25778.92</v>
      </c>
      <c r="I55" s="373">
        <f>I54/12</f>
        <v>21063.25</v>
      </c>
      <c r="J55" s="358">
        <f>ROUND(J54/12,2)</f>
        <v>26310.67</v>
      </c>
      <c r="K55" s="369">
        <f>K54/12</f>
        <v>21357.833333333332</v>
      </c>
      <c r="L55" s="376">
        <f>ROUND(L54/12,2)</f>
        <v>26678.58</v>
      </c>
      <c r="M55" s="381"/>
      <c r="N55" s="359"/>
      <c r="O55" s="361">
        <f>ROUND(O54/12,2)</f>
        <v>23366.37</v>
      </c>
    </row>
    <row r="56" spans="1:15" ht="15" thickBot="1">
      <c r="A56" s="2113"/>
      <c r="B56" s="365" t="s">
        <v>201</v>
      </c>
      <c r="C56" s="372">
        <f>C54/12</f>
        <v>19917.083333333332</v>
      </c>
      <c r="D56" s="183">
        <f>ROUND(D55/160.33,2)</f>
        <v>155.16999999999999</v>
      </c>
      <c r="E56" s="375"/>
      <c r="F56" s="183">
        <f t="shared" ref="F56:O56" si="17">ROUND(F55/160.33,2)</f>
        <v>158.49</v>
      </c>
      <c r="G56" s="183">
        <f t="shared" si="17"/>
        <v>128.72</v>
      </c>
      <c r="H56" s="183">
        <f t="shared" si="17"/>
        <v>160.79</v>
      </c>
      <c r="I56" s="183">
        <f t="shared" si="17"/>
        <v>131.37</v>
      </c>
      <c r="J56" s="183">
        <f t="shared" si="17"/>
        <v>164.1</v>
      </c>
      <c r="K56" s="183">
        <f t="shared" si="17"/>
        <v>133.21</v>
      </c>
      <c r="L56" s="183">
        <f t="shared" si="17"/>
        <v>166.4</v>
      </c>
      <c r="M56" s="183">
        <f t="shared" si="17"/>
        <v>0</v>
      </c>
      <c r="N56" s="183">
        <f t="shared" si="17"/>
        <v>0</v>
      </c>
      <c r="O56" s="183">
        <f t="shared" si="17"/>
        <v>145.74</v>
      </c>
    </row>
    <row r="57" spans="1:15">
      <c r="A57" s="2112">
        <v>18</v>
      </c>
      <c r="B57" s="342" t="s">
        <v>93</v>
      </c>
      <c r="C57" s="185">
        <v>243387</v>
      </c>
      <c r="D57" s="178">
        <f>ROUND((C57*(1+'Løntabel gældende fra'!$D$7%)),0)</f>
        <v>304021</v>
      </c>
      <c r="E57" s="186">
        <v>248626</v>
      </c>
      <c r="F57" s="187">
        <f>ROUND((E57*(1+'Løntabel gældende fra'!$D$7%)),0)</f>
        <v>310565</v>
      </c>
      <c r="G57" s="185">
        <v>252252</v>
      </c>
      <c r="H57" s="178">
        <f>ROUND((G57*(1+'Løntabel gældende fra'!$D$7%)),0)</f>
        <v>315095</v>
      </c>
      <c r="I57" s="186">
        <v>257490</v>
      </c>
      <c r="J57" s="187">
        <f>ROUND((I57*(1+'Løntabel gældende fra'!$D$7%)),0)</f>
        <v>321637</v>
      </c>
      <c r="K57" s="185">
        <v>261115</v>
      </c>
      <c r="L57" s="178">
        <f>ROUND((K57*(1+'Løntabel gældende fra'!$D$7%)),0)</f>
        <v>326166</v>
      </c>
      <c r="M57" s="382"/>
      <c r="N57" s="360">
        <v>228579.5</v>
      </c>
      <c r="O57" s="192">
        <f>ROUND(N57*(1+'Løntabel gældende fra'!$D$7%),2)</f>
        <v>285524.59999999998</v>
      </c>
    </row>
    <row r="58" spans="1:15">
      <c r="A58" s="2110"/>
      <c r="B58" s="364" t="s">
        <v>94</v>
      </c>
      <c r="C58" s="369"/>
      <c r="D58" s="376">
        <f>ROUND(D57/12,2)</f>
        <v>25335.08</v>
      </c>
      <c r="E58" s="373">
        <f>E57/12</f>
        <v>20718.833333333332</v>
      </c>
      <c r="F58" s="358">
        <f>ROUND(F57/12,2)</f>
        <v>25880.42</v>
      </c>
      <c r="G58" s="369">
        <f>G57/12</f>
        <v>21021</v>
      </c>
      <c r="H58" s="376">
        <f>ROUND(H57/12,2)</f>
        <v>26257.919999999998</v>
      </c>
      <c r="I58" s="373">
        <f>I57/12</f>
        <v>21457.5</v>
      </c>
      <c r="J58" s="358">
        <f>ROUND(J57/12,2)</f>
        <v>26803.08</v>
      </c>
      <c r="K58" s="369">
        <f>K57/12</f>
        <v>21759.583333333332</v>
      </c>
      <c r="L58" s="376">
        <f>ROUND(L57/12,2)</f>
        <v>27180.5</v>
      </c>
      <c r="M58" s="381"/>
      <c r="N58" s="359"/>
      <c r="O58" s="361">
        <f>ROUND(O57/12,2)</f>
        <v>23793.72</v>
      </c>
    </row>
    <row r="59" spans="1:15" ht="15" thickBot="1">
      <c r="A59" s="2111"/>
      <c r="B59" s="344" t="s">
        <v>201</v>
      </c>
      <c r="C59" s="182">
        <f>C57/12</f>
        <v>20282.25</v>
      </c>
      <c r="D59" s="183">
        <f>ROUND(D58/160.33,2)</f>
        <v>158.02000000000001</v>
      </c>
      <c r="E59" s="374"/>
      <c r="F59" s="183">
        <f t="shared" ref="F59:O59" si="18">ROUND(F58/160.33,2)</f>
        <v>161.41999999999999</v>
      </c>
      <c r="G59" s="183">
        <f t="shared" si="18"/>
        <v>131.11000000000001</v>
      </c>
      <c r="H59" s="183">
        <f t="shared" si="18"/>
        <v>163.77000000000001</v>
      </c>
      <c r="I59" s="183">
        <f t="shared" si="18"/>
        <v>133.83000000000001</v>
      </c>
      <c r="J59" s="183">
        <f t="shared" si="18"/>
        <v>167.17</v>
      </c>
      <c r="K59" s="183">
        <f t="shared" si="18"/>
        <v>135.72</v>
      </c>
      <c r="L59" s="183">
        <f t="shared" si="18"/>
        <v>169.53</v>
      </c>
      <c r="M59" s="183">
        <f t="shared" si="18"/>
        <v>0</v>
      </c>
      <c r="N59" s="183">
        <f t="shared" si="18"/>
        <v>0</v>
      </c>
      <c r="O59" s="183">
        <f t="shared" si="18"/>
        <v>148.4</v>
      </c>
    </row>
    <row r="60" spans="1:15">
      <c r="A60" s="2109">
        <v>19</v>
      </c>
      <c r="B60" s="176" t="s">
        <v>93</v>
      </c>
      <c r="C60" s="177">
        <v>246657</v>
      </c>
      <c r="D60" s="181">
        <f>ROUND((C60*(1+'Løntabel gældende fra'!$D$7%)),0)</f>
        <v>308106</v>
      </c>
      <c r="E60" s="179">
        <v>252029</v>
      </c>
      <c r="F60" s="180">
        <f>ROUND((E60*(1+'Løntabel gældende fra'!$D$7%)),0)</f>
        <v>314816</v>
      </c>
      <c r="G60" s="177">
        <v>255746</v>
      </c>
      <c r="H60" s="181">
        <f>ROUND((G60*(1+'Løntabel gældende fra'!$D$7%)),0)</f>
        <v>319459</v>
      </c>
      <c r="I60" s="179">
        <v>261119</v>
      </c>
      <c r="J60" s="180">
        <f>ROUND((I60*(1+'Løntabel gældende fra'!$D$7%)),0)</f>
        <v>326171</v>
      </c>
      <c r="K60" s="177">
        <v>264839</v>
      </c>
      <c r="L60" s="181">
        <f>ROUND((K60*(1+'Løntabel gældende fra'!$D$7%)),0)</f>
        <v>330817</v>
      </c>
      <c r="M60" s="383"/>
      <c r="N60" s="362">
        <v>232796.81</v>
      </c>
      <c r="O60" s="363">
        <f>ROUND(N60*(1+'Løntabel gældende fra'!$D$7%),2)</f>
        <v>290792.55</v>
      </c>
    </row>
    <row r="61" spans="1:15">
      <c r="A61" s="2110"/>
      <c r="B61" s="364" t="s">
        <v>206</v>
      </c>
      <c r="C61" s="369"/>
      <c r="D61" s="376">
        <f>ROUND(D60/12,2)</f>
        <v>25675.5</v>
      </c>
      <c r="E61" s="373">
        <f>E60/12</f>
        <v>21002.416666666668</v>
      </c>
      <c r="F61" s="358">
        <f>ROUND(F60/12,2)</f>
        <v>26234.67</v>
      </c>
      <c r="G61" s="369">
        <f>G60/12</f>
        <v>21312.166666666668</v>
      </c>
      <c r="H61" s="376">
        <f>ROUND(H60/12,2)</f>
        <v>26621.58</v>
      </c>
      <c r="I61" s="373">
        <f>I60/12</f>
        <v>21759.916666666668</v>
      </c>
      <c r="J61" s="358">
        <f>ROUND(J60/12,2)</f>
        <v>27180.92</v>
      </c>
      <c r="K61" s="369">
        <f>K60/12</f>
        <v>22069.916666666668</v>
      </c>
      <c r="L61" s="376">
        <f>ROUND(L60/12,2)</f>
        <v>27568.080000000002</v>
      </c>
      <c r="M61" s="381"/>
      <c r="N61" s="359"/>
      <c r="O61" s="361">
        <f>ROUND(O60/12,2)</f>
        <v>24232.71</v>
      </c>
    </row>
    <row r="62" spans="1:15" ht="15" thickBot="1">
      <c r="A62" s="2113"/>
      <c r="B62" s="365" t="s">
        <v>201</v>
      </c>
      <c r="C62" s="372">
        <f>C60/12</f>
        <v>20554.75</v>
      </c>
      <c r="D62" s="183">
        <f>ROUND(D61/160.33,2)</f>
        <v>160.13999999999999</v>
      </c>
      <c r="E62" s="375"/>
      <c r="F62" s="183">
        <f t="shared" ref="F62:O62" si="19">ROUND(F61/160.33,2)</f>
        <v>163.63</v>
      </c>
      <c r="G62" s="183">
        <f t="shared" si="19"/>
        <v>132.93</v>
      </c>
      <c r="H62" s="183">
        <f t="shared" si="19"/>
        <v>166.04</v>
      </c>
      <c r="I62" s="183">
        <f t="shared" si="19"/>
        <v>135.72</v>
      </c>
      <c r="J62" s="183">
        <f t="shared" si="19"/>
        <v>169.53</v>
      </c>
      <c r="K62" s="183">
        <f t="shared" si="19"/>
        <v>137.65</v>
      </c>
      <c r="L62" s="183">
        <f t="shared" si="19"/>
        <v>171.95</v>
      </c>
      <c r="M62" s="183">
        <f t="shared" si="19"/>
        <v>0</v>
      </c>
      <c r="N62" s="183">
        <f t="shared" si="19"/>
        <v>0</v>
      </c>
      <c r="O62" s="183">
        <f t="shared" si="19"/>
        <v>151.13999999999999</v>
      </c>
    </row>
    <row r="63" spans="1:15">
      <c r="A63" s="2112">
        <v>20</v>
      </c>
      <c r="B63" s="342" t="s">
        <v>93</v>
      </c>
      <c r="C63" s="185">
        <v>250053</v>
      </c>
      <c r="D63" s="178">
        <f>ROUND((C63*(1+'Løntabel gældende fra'!$D$7%)),0)</f>
        <v>312348</v>
      </c>
      <c r="E63" s="186">
        <v>255560</v>
      </c>
      <c r="F63" s="187">
        <f>ROUND((E63*(1+'Løntabel gældende fra'!$D$7%)),0)</f>
        <v>319227</v>
      </c>
      <c r="G63" s="185">
        <v>259374</v>
      </c>
      <c r="H63" s="178">
        <f>ROUND((G63*(1+'Løntabel gældende fra'!$D$7%)),0)</f>
        <v>323991</v>
      </c>
      <c r="I63" s="186">
        <v>264882</v>
      </c>
      <c r="J63" s="187">
        <f>ROUND((I63*(1+'Løntabel gældende fra'!$D$7%)),0)</f>
        <v>330871</v>
      </c>
      <c r="K63" s="185">
        <v>268694</v>
      </c>
      <c r="L63" s="178">
        <f>ROUND((K63*(1+'Løntabel gældende fra'!$D$7%)),0)</f>
        <v>335633</v>
      </c>
      <c r="M63" s="382"/>
      <c r="N63" s="360">
        <v>237129.61</v>
      </c>
      <c r="O63" s="192">
        <f>ROUND(N63*(1+'Løntabel gældende fra'!$D$7%),2)</f>
        <v>296204.76</v>
      </c>
    </row>
    <row r="64" spans="1:15">
      <c r="A64" s="2110"/>
      <c r="B64" s="364" t="s">
        <v>94</v>
      </c>
      <c r="C64" s="369"/>
      <c r="D64" s="376">
        <f>ROUND(D63/12,2)</f>
        <v>26029</v>
      </c>
      <c r="E64" s="373">
        <f>E63/12</f>
        <v>21296.666666666668</v>
      </c>
      <c r="F64" s="358">
        <f>ROUND(F63/12,2)</f>
        <v>26602.25</v>
      </c>
      <c r="G64" s="369">
        <f>G63/12</f>
        <v>21614.5</v>
      </c>
      <c r="H64" s="376">
        <f>ROUND(H63/12,2)</f>
        <v>26999.25</v>
      </c>
      <c r="I64" s="373">
        <f>I63/12</f>
        <v>22073.5</v>
      </c>
      <c r="J64" s="358">
        <f>ROUND(J63/12,2)</f>
        <v>27572.58</v>
      </c>
      <c r="K64" s="369">
        <f>K63/12</f>
        <v>22391.166666666668</v>
      </c>
      <c r="L64" s="376">
        <f>ROUND(L63/12,2)</f>
        <v>27969.42</v>
      </c>
      <c r="M64" s="381"/>
      <c r="N64" s="359"/>
      <c r="O64" s="361">
        <f>ROUND(O63/12,2)</f>
        <v>24683.73</v>
      </c>
    </row>
    <row r="65" spans="1:15" ht="15" thickBot="1">
      <c r="A65" s="2111"/>
      <c r="B65" s="344" t="s">
        <v>201</v>
      </c>
      <c r="C65" s="182">
        <f>C63/12</f>
        <v>20837.75</v>
      </c>
      <c r="D65" s="183">
        <f>ROUND(D64/160.33,2)</f>
        <v>162.35</v>
      </c>
      <c r="E65" s="374"/>
      <c r="F65" s="183">
        <f t="shared" ref="F65:O65" si="20">ROUND(F64/160.33,2)</f>
        <v>165.92</v>
      </c>
      <c r="G65" s="183">
        <f t="shared" si="20"/>
        <v>134.81</v>
      </c>
      <c r="H65" s="183">
        <f t="shared" si="20"/>
        <v>168.4</v>
      </c>
      <c r="I65" s="183">
        <f t="shared" si="20"/>
        <v>137.68</v>
      </c>
      <c r="J65" s="183">
        <f t="shared" si="20"/>
        <v>171.97</v>
      </c>
      <c r="K65" s="183">
        <f t="shared" si="20"/>
        <v>139.66</v>
      </c>
      <c r="L65" s="183">
        <f t="shared" si="20"/>
        <v>174.45</v>
      </c>
      <c r="M65" s="183">
        <f t="shared" si="20"/>
        <v>0</v>
      </c>
      <c r="N65" s="183">
        <f t="shared" si="20"/>
        <v>0</v>
      </c>
      <c r="O65" s="183">
        <f t="shared" si="20"/>
        <v>153.96</v>
      </c>
    </row>
    <row r="66" spans="1:15">
      <c r="A66" s="2109">
        <v>21</v>
      </c>
      <c r="B66" s="176" t="s">
        <v>93</v>
      </c>
      <c r="C66" s="177">
        <v>254192</v>
      </c>
      <c r="D66" s="181">
        <f>ROUND((C66*(1+'Løntabel gældende fra'!$D$7%)),0)</f>
        <v>317518</v>
      </c>
      <c r="E66" s="179">
        <v>259841</v>
      </c>
      <c r="F66" s="180">
        <f>ROUND((E66*(1+'Løntabel gældende fra'!$D$7%)),0)</f>
        <v>324574</v>
      </c>
      <c r="G66" s="177">
        <v>263752</v>
      </c>
      <c r="H66" s="181">
        <f>ROUND((G66*(1+'Løntabel gældende fra'!$D$7%)),0)</f>
        <v>329459</v>
      </c>
      <c r="I66" s="179">
        <v>269401</v>
      </c>
      <c r="J66" s="180">
        <f>ROUND((I66*(1+'Løntabel gældende fra'!$D$7%)),0)</f>
        <v>336516</v>
      </c>
      <c r="K66" s="177">
        <v>273312</v>
      </c>
      <c r="L66" s="181">
        <f>ROUND((K66*(1+'Løntabel gældende fra'!$D$7%)),0)</f>
        <v>341401</v>
      </c>
      <c r="M66" s="383"/>
      <c r="N66" s="362">
        <v>241583.32</v>
      </c>
      <c r="O66" s="363">
        <f>ROUND(N66*(1+'Løntabel gældende fra'!$D$7%),2)</f>
        <v>301768.01</v>
      </c>
    </row>
    <row r="67" spans="1:15">
      <c r="A67" s="2110"/>
      <c r="B67" s="364" t="s">
        <v>206</v>
      </c>
      <c r="C67" s="369"/>
      <c r="D67" s="376">
        <f>ROUND(D66/12,2)</f>
        <v>26459.83</v>
      </c>
      <c r="E67" s="373">
        <f>E66/12</f>
        <v>21653.416666666668</v>
      </c>
      <c r="F67" s="358">
        <f>ROUND(F66/12,2)</f>
        <v>27047.83</v>
      </c>
      <c r="G67" s="369">
        <f>G66/12</f>
        <v>21979.333333333332</v>
      </c>
      <c r="H67" s="376">
        <f>ROUND(H66/12,2)</f>
        <v>27454.92</v>
      </c>
      <c r="I67" s="373">
        <f>I66/12</f>
        <v>22450.083333333332</v>
      </c>
      <c r="J67" s="358">
        <f>ROUND(J66/12,2)</f>
        <v>28043</v>
      </c>
      <c r="K67" s="369">
        <f>K66/12</f>
        <v>22776</v>
      </c>
      <c r="L67" s="376">
        <f>ROUND(L66/12,2)</f>
        <v>28450.080000000002</v>
      </c>
      <c r="M67" s="381"/>
      <c r="N67" s="359"/>
      <c r="O67" s="361">
        <f>ROUND(O66/12,2)</f>
        <v>25147.33</v>
      </c>
    </row>
    <row r="68" spans="1:15" ht="15" thickBot="1">
      <c r="A68" s="2113"/>
      <c r="B68" s="365" t="s">
        <v>201</v>
      </c>
      <c r="C68" s="372">
        <f>C66/12</f>
        <v>21182.666666666668</v>
      </c>
      <c r="D68" s="183">
        <f>ROUND(D67/160.33,2)</f>
        <v>165.03</v>
      </c>
      <c r="E68" s="375"/>
      <c r="F68" s="183">
        <f t="shared" ref="F68:O68" si="21">ROUND(F67/160.33,2)</f>
        <v>168.7</v>
      </c>
      <c r="G68" s="183">
        <f t="shared" si="21"/>
        <v>137.09</v>
      </c>
      <c r="H68" s="183">
        <f t="shared" si="21"/>
        <v>171.24</v>
      </c>
      <c r="I68" s="183">
        <f t="shared" si="21"/>
        <v>140.02000000000001</v>
      </c>
      <c r="J68" s="183">
        <f t="shared" si="21"/>
        <v>174.91</v>
      </c>
      <c r="K68" s="183">
        <f t="shared" si="21"/>
        <v>142.06</v>
      </c>
      <c r="L68" s="183">
        <f t="shared" si="21"/>
        <v>177.45</v>
      </c>
      <c r="M68" s="183">
        <f t="shared" si="21"/>
        <v>0</v>
      </c>
      <c r="N68" s="183">
        <f t="shared" si="21"/>
        <v>0</v>
      </c>
      <c r="O68" s="183">
        <f t="shared" si="21"/>
        <v>156.85</v>
      </c>
    </row>
    <row r="69" spans="1:15">
      <c r="A69" s="2112">
        <v>22</v>
      </c>
      <c r="B69" s="189" t="s">
        <v>93</v>
      </c>
      <c r="C69" s="185">
        <v>258027</v>
      </c>
      <c r="D69" s="178">
        <f>ROUND((C69*(1+'Løntabel gældende fra'!$D$7%)),0)</f>
        <v>322308</v>
      </c>
      <c r="E69" s="186">
        <v>263676</v>
      </c>
      <c r="F69" s="187">
        <f>ROUND((E69*(1+'Løntabel gældende fra'!$D$7%)),0)</f>
        <v>329365</v>
      </c>
      <c r="G69" s="185">
        <v>267587</v>
      </c>
      <c r="H69" s="178">
        <f>ROUND((G69*(1+'Løntabel gældende fra'!$D$7%)),0)</f>
        <v>334250</v>
      </c>
      <c r="I69" s="186">
        <v>273236</v>
      </c>
      <c r="J69" s="187">
        <f>ROUND((I69*(1+'Løntabel gældende fra'!$D$7%)),0)</f>
        <v>341306</v>
      </c>
      <c r="K69" s="185">
        <v>277147</v>
      </c>
      <c r="L69" s="178">
        <f>ROUND((K69*(1+'Løntabel gældende fra'!$D$7%)),0)</f>
        <v>346192</v>
      </c>
      <c r="M69" s="382"/>
      <c r="N69" s="360">
        <v>246033.33</v>
      </c>
      <c r="O69" s="192">
        <f>ROUND(N69*(1+'Løntabel gældende fra'!$D$7%),2)</f>
        <v>307326.63</v>
      </c>
    </row>
    <row r="70" spans="1:15">
      <c r="A70" s="2110"/>
      <c r="B70" s="366" t="s">
        <v>206</v>
      </c>
      <c r="C70" s="369"/>
      <c r="D70" s="376">
        <f>ROUND(D69/12,2)</f>
        <v>26859</v>
      </c>
      <c r="E70" s="373">
        <f>E69/12</f>
        <v>21973</v>
      </c>
      <c r="F70" s="358">
        <f>ROUND(F69/12,2)</f>
        <v>27447.08</v>
      </c>
      <c r="G70" s="369">
        <f>G69/12</f>
        <v>22298.916666666668</v>
      </c>
      <c r="H70" s="376">
        <f>ROUND(H69/12,2)</f>
        <v>27854.17</v>
      </c>
      <c r="I70" s="373">
        <f>I69/12</f>
        <v>22769.666666666668</v>
      </c>
      <c r="J70" s="358">
        <f>ROUND(J69/12,2)</f>
        <v>28442.17</v>
      </c>
      <c r="K70" s="369">
        <f>K69/12</f>
        <v>23095.583333333332</v>
      </c>
      <c r="L70" s="376">
        <f>ROUND(L69/12,2)</f>
        <v>28849.33</v>
      </c>
      <c r="M70" s="381"/>
      <c r="N70" s="359"/>
      <c r="O70" s="361">
        <f>ROUND(O69/12,2)</f>
        <v>25610.55</v>
      </c>
    </row>
    <row r="71" spans="1:15" ht="15" thickBot="1">
      <c r="A71" s="2111"/>
      <c r="B71" s="367" t="s">
        <v>201</v>
      </c>
      <c r="C71" s="182">
        <v>262137</v>
      </c>
      <c r="D71" s="183">
        <f>ROUND(D70/160.33,2)</f>
        <v>167.52</v>
      </c>
      <c r="E71" s="374"/>
      <c r="F71" s="183">
        <f t="shared" ref="F71:O71" si="22">ROUND(F70/160.33,2)</f>
        <v>171.19</v>
      </c>
      <c r="G71" s="183">
        <f t="shared" si="22"/>
        <v>139.08000000000001</v>
      </c>
      <c r="H71" s="183">
        <f t="shared" si="22"/>
        <v>173.73</v>
      </c>
      <c r="I71" s="183">
        <f t="shared" si="22"/>
        <v>142.02000000000001</v>
      </c>
      <c r="J71" s="183">
        <f t="shared" si="22"/>
        <v>177.4</v>
      </c>
      <c r="K71" s="183">
        <f t="shared" si="22"/>
        <v>144.05000000000001</v>
      </c>
      <c r="L71" s="183">
        <f t="shared" si="22"/>
        <v>179.94</v>
      </c>
      <c r="M71" s="183">
        <f t="shared" si="22"/>
        <v>0</v>
      </c>
      <c r="N71" s="183">
        <f t="shared" si="22"/>
        <v>0</v>
      </c>
      <c r="O71" s="183">
        <f t="shared" si="22"/>
        <v>159.74</v>
      </c>
    </row>
    <row r="72" spans="1:15">
      <c r="A72" s="2109">
        <v>23</v>
      </c>
      <c r="B72" s="188" t="s">
        <v>93</v>
      </c>
      <c r="C72" s="177">
        <v>262137</v>
      </c>
      <c r="D72" s="181">
        <f>ROUND((C72*(1+'Løntabel gældende fra'!$D$7%)),0)</f>
        <v>327442</v>
      </c>
      <c r="E72" s="179">
        <v>267629</v>
      </c>
      <c r="F72" s="180">
        <f>ROUND((E72*(1+'Løntabel gældende fra'!$D$7%)),0)</f>
        <v>334302</v>
      </c>
      <c r="G72" s="177">
        <v>271434</v>
      </c>
      <c r="H72" s="181">
        <f>ROUND((G72*(1+'Løntabel gældende fra'!$D$7%)),0)</f>
        <v>339055</v>
      </c>
      <c r="I72" s="179">
        <v>276928</v>
      </c>
      <c r="J72" s="180">
        <f>ROUND((I72*(1+'Løntabel gældende fra'!$D$7%)),0)</f>
        <v>345918</v>
      </c>
      <c r="K72" s="177">
        <v>280730</v>
      </c>
      <c r="L72" s="181">
        <f>ROUND((K72*(1+'Løntabel gældende fra'!$D$7%)),0)</f>
        <v>350667</v>
      </c>
      <c r="M72" s="383"/>
      <c r="N72" s="362">
        <v>250472.55</v>
      </c>
      <c r="O72" s="363">
        <f>ROUND(N72*(1+'Løntabel gældende fra'!$D$7%),2)</f>
        <v>312871.77</v>
      </c>
    </row>
    <row r="73" spans="1:15">
      <c r="A73" s="2110"/>
      <c r="B73" s="366" t="s">
        <v>206</v>
      </c>
      <c r="C73" s="369"/>
      <c r="D73" s="376">
        <f>ROUND(D72/12,2)</f>
        <v>27286.83</v>
      </c>
      <c r="E73" s="373">
        <f>E72/12</f>
        <v>22302.416666666668</v>
      </c>
      <c r="F73" s="358">
        <f>ROUND(F72/12,2)</f>
        <v>27858.5</v>
      </c>
      <c r="G73" s="369">
        <f>G72/12</f>
        <v>22619.5</v>
      </c>
      <c r="H73" s="376">
        <f>ROUND(H72/12,2)</f>
        <v>28254.58</v>
      </c>
      <c r="I73" s="373">
        <f>I72/12</f>
        <v>23077.333333333332</v>
      </c>
      <c r="J73" s="358">
        <f>ROUND(J72/12,2)</f>
        <v>28826.5</v>
      </c>
      <c r="K73" s="369">
        <f>K72/12</f>
        <v>23394.166666666668</v>
      </c>
      <c r="L73" s="376">
        <f>ROUND(L72/12,2)</f>
        <v>29222.25</v>
      </c>
      <c r="M73" s="381"/>
      <c r="N73" s="359"/>
      <c r="O73" s="361">
        <f>ROUND(O72/12,2)</f>
        <v>26072.65</v>
      </c>
    </row>
    <row r="74" spans="1:15" ht="15" thickBot="1">
      <c r="A74" s="2113"/>
      <c r="B74" s="368" t="s">
        <v>201</v>
      </c>
      <c r="C74" s="372">
        <f>C72/12</f>
        <v>21844.75</v>
      </c>
      <c r="D74" s="183">
        <f>ROUND(D73/160.33,2)</f>
        <v>170.19</v>
      </c>
      <c r="E74" s="375"/>
      <c r="F74" s="183">
        <f t="shared" ref="F74:O74" si="23">ROUND(F73/160.33,2)</f>
        <v>173.76</v>
      </c>
      <c r="G74" s="183">
        <f t="shared" si="23"/>
        <v>141.08000000000001</v>
      </c>
      <c r="H74" s="183">
        <f t="shared" si="23"/>
        <v>176.23</v>
      </c>
      <c r="I74" s="183">
        <f t="shared" si="23"/>
        <v>143.94</v>
      </c>
      <c r="J74" s="183">
        <f t="shared" si="23"/>
        <v>179.79</v>
      </c>
      <c r="K74" s="183">
        <f t="shared" si="23"/>
        <v>145.91</v>
      </c>
      <c r="L74" s="183">
        <f t="shared" si="23"/>
        <v>182.26</v>
      </c>
      <c r="M74" s="183">
        <f t="shared" si="23"/>
        <v>0</v>
      </c>
      <c r="N74" s="183">
        <f t="shared" si="23"/>
        <v>0</v>
      </c>
      <c r="O74" s="183">
        <f t="shared" si="23"/>
        <v>162.62</v>
      </c>
    </row>
    <row r="75" spans="1:15">
      <c r="A75" s="2112">
        <v>24</v>
      </c>
      <c r="B75" s="189" t="s">
        <v>93</v>
      </c>
      <c r="C75" s="185">
        <v>266372</v>
      </c>
      <c r="D75" s="178">
        <f>ROUND((C75*(1+'Løntabel gældende fra'!$D$7%)),0)</f>
        <v>332732</v>
      </c>
      <c r="E75" s="186">
        <v>271710</v>
      </c>
      <c r="F75" s="187">
        <f>ROUND((E75*(1+'Løntabel gældende fra'!$D$7%)),0)</f>
        <v>339400</v>
      </c>
      <c r="G75" s="185">
        <v>275406</v>
      </c>
      <c r="H75" s="178">
        <f>ROUND((G75*(1+'Løntabel gældende fra'!$D$7%)),0)</f>
        <v>344017</v>
      </c>
      <c r="I75" s="186">
        <v>280745</v>
      </c>
      <c r="J75" s="187">
        <f>ROUND((I75*(1+'Løntabel gældende fra'!$D$7%)),0)</f>
        <v>350686</v>
      </c>
      <c r="K75" s="185">
        <v>284441</v>
      </c>
      <c r="L75" s="178">
        <f>ROUND((K75*(1+'Løntabel gældende fra'!$D$7%)),0)</f>
        <v>355303</v>
      </c>
      <c r="M75" s="382"/>
      <c r="N75" s="360">
        <v>255037.97</v>
      </c>
      <c r="O75" s="192">
        <f>ROUND(N75*(1+'Løntabel gældende fra'!$D$7%),2)</f>
        <v>318574.56</v>
      </c>
    </row>
    <row r="76" spans="1:15">
      <c r="A76" s="2110"/>
      <c r="B76" s="366" t="s">
        <v>206</v>
      </c>
      <c r="C76" s="369"/>
      <c r="D76" s="376">
        <f>ROUND(D75/12,2)</f>
        <v>27727.67</v>
      </c>
      <c r="E76" s="373">
        <f>E75/12</f>
        <v>22642.5</v>
      </c>
      <c r="F76" s="358">
        <f>ROUND(F75/12,2)</f>
        <v>28283.33</v>
      </c>
      <c r="G76" s="369">
        <f>G75/12</f>
        <v>22950.5</v>
      </c>
      <c r="H76" s="376">
        <f>ROUND(H75/12,2)</f>
        <v>28668.080000000002</v>
      </c>
      <c r="I76" s="373">
        <f>I75/12</f>
        <v>23395.416666666668</v>
      </c>
      <c r="J76" s="358">
        <f>ROUND(J75/12,2)</f>
        <v>29223.83</v>
      </c>
      <c r="K76" s="369">
        <f>K75/12</f>
        <v>23703.416666666668</v>
      </c>
      <c r="L76" s="376">
        <f>ROUND(L75/12,2)</f>
        <v>29608.58</v>
      </c>
      <c r="M76" s="381"/>
      <c r="N76" s="359"/>
      <c r="O76" s="361">
        <f>ROUND(O75/12,2)</f>
        <v>26547.88</v>
      </c>
    </row>
    <row r="77" spans="1:15" ht="15" thickBot="1">
      <c r="A77" s="2111"/>
      <c r="B77" s="367" t="s">
        <v>201</v>
      </c>
      <c r="C77" s="182">
        <f>C75/12</f>
        <v>22197.666666666668</v>
      </c>
      <c r="D77" s="183">
        <f>ROUND(D76/160.33,2)</f>
        <v>172.94</v>
      </c>
      <c r="E77" s="374"/>
      <c r="F77" s="183">
        <f t="shared" ref="F77:O77" si="24">ROUND(F76/160.33,2)</f>
        <v>176.41</v>
      </c>
      <c r="G77" s="183">
        <f t="shared" si="24"/>
        <v>143.15</v>
      </c>
      <c r="H77" s="183">
        <f t="shared" si="24"/>
        <v>178.81</v>
      </c>
      <c r="I77" s="183">
        <f t="shared" si="24"/>
        <v>145.91999999999999</v>
      </c>
      <c r="J77" s="183">
        <f t="shared" si="24"/>
        <v>182.27</v>
      </c>
      <c r="K77" s="183">
        <f t="shared" si="24"/>
        <v>147.84</v>
      </c>
      <c r="L77" s="183">
        <f t="shared" si="24"/>
        <v>184.67</v>
      </c>
      <c r="M77" s="183">
        <f t="shared" si="24"/>
        <v>0</v>
      </c>
      <c r="N77" s="183">
        <f t="shared" si="24"/>
        <v>0</v>
      </c>
      <c r="O77" s="183">
        <f t="shared" si="24"/>
        <v>165.58</v>
      </c>
    </row>
    <row r="78" spans="1:15">
      <c r="A78" s="2109">
        <v>25</v>
      </c>
      <c r="B78" s="188" t="s">
        <v>93</v>
      </c>
      <c r="C78" s="177">
        <v>270701</v>
      </c>
      <c r="D78" s="181">
        <f>ROUND((C78*(1+'Løntabel gældende fra'!$D$7%)),0)</f>
        <v>338140</v>
      </c>
      <c r="E78" s="179">
        <v>275873</v>
      </c>
      <c r="F78" s="180">
        <f>ROUND((E78*(1+'Løntabel gældende fra'!$D$7%)),0)</f>
        <v>344600</v>
      </c>
      <c r="G78" s="177">
        <v>279454</v>
      </c>
      <c r="H78" s="181">
        <f>ROUND((G78*(1+'Løntabel gældende fra'!$D$7%)),0)</f>
        <v>349073</v>
      </c>
      <c r="I78" s="179">
        <v>284626</v>
      </c>
      <c r="J78" s="180">
        <f>ROUND((I78*(1+'Løntabel gældende fra'!$D$7%)),0)</f>
        <v>355534</v>
      </c>
      <c r="K78" s="177">
        <v>288206</v>
      </c>
      <c r="L78" s="181">
        <f>ROUND((K78*(1+'Løntabel gældende fra'!$D$7%)),0)</f>
        <v>360006</v>
      </c>
      <c r="M78" s="383"/>
      <c r="N78" s="362">
        <v>259721.7</v>
      </c>
      <c r="O78" s="363">
        <f>ROUND(N78*(1+'Løntabel gældende fra'!$D$7%),2)</f>
        <v>324425.13</v>
      </c>
    </row>
    <row r="79" spans="1:15">
      <c r="A79" s="2110"/>
      <c r="B79" s="366" t="s">
        <v>206</v>
      </c>
      <c r="C79" s="369"/>
      <c r="D79" s="376">
        <f>ROUND(D78/12,2)</f>
        <v>28178.33</v>
      </c>
      <c r="E79" s="373">
        <f>E78/12</f>
        <v>22989.416666666668</v>
      </c>
      <c r="F79" s="358">
        <f>ROUND(F78/12,2)</f>
        <v>28716.67</v>
      </c>
      <c r="G79" s="369">
        <f>G78/12</f>
        <v>23287.833333333332</v>
      </c>
      <c r="H79" s="376">
        <f>ROUND(H78/12,2)</f>
        <v>29089.42</v>
      </c>
      <c r="I79" s="373">
        <f>I78/12</f>
        <v>23718.833333333332</v>
      </c>
      <c r="J79" s="358">
        <f>ROUND(J78/12,2)</f>
        <v>29627.83</v>
      </c>
      <c r="K79" s="369">
        <f>K78/12</f>
        <v>24017.166666666668</v>
      </c>
      <c r="L79" s="376">
        <f>ROUND(L78/12,2)</f>
        <v>30000.5</v>
      </c>
      <c r="M79" s="381"/>
      <c r="N79" s="359"/>
      <c r="O79" s="361">
        <f>ROUND(O78/12,2)</f>
        <v>27035.43</v>
      </c>
    </row>
    <row r="80" spans="1:15" ht="15" thickBot="1">
      <c r="A80" s="2113"/>
      <c r="B80" s="368" t="s">
        <v>201</v>
      </c>
      <c r="C80" s="372">
        <f>C78/12</f>
        <v>22558.416666666668</v>
      </c>
      <c r="D80" s="183">
        <f>ROUND(D79/160.33,2)</f>
        <v>175.75</v>
      </c>
      <c r="E80" s="375"/>
      <c r="F80" s="183">
        <f t="shared" ref="F80:O80" si="25">ROUND(F79/160.33,2)</f>
        <v>179.11</v>
      </c>
      <c r="G80" s="183">
        <f t="shared" si="25"/>
        <v>145.25</v>
      </c>
      <c r="H80" s="183">
        <f t="shared" si="25"/>
        <v>181.43</v>
      </c>
      <c r="I80" s="183">
        <f t="shared" si="25"/>
        <v>147.94</v>
      </c>
      <c r="J80" s="183">
        <f t="shared" si="25"/>
        <v>184.79</v>
      </c>
      <c r="K80" s="183">
        <f t="shared" si="25"/>
        <v>149.80000000000001</v>
      </c>
      <c r="L80" s="183">
        <f t="shared" si="25"/>
        <v>187.12</v>
      </c>
      <c r="M80" s="183">
        <f t="shared" si="25"/>
        <v>0</v>
      </c>
      <c r="N80" s="183">
        <f t="shared" si="25"/>
        <v>0</v>
      </c>
      <c r="O80" s="183">
        <f t="shared" si="25"/>
        <v>168.62</v>
      </c>
    </row>
    <row r="81" spans="1:15">
      <c r="A81" s="2112">
        <v>26</v>
      </c>
      <c r="B81" s="189" t="s">
        <v>93</v>
      </c>
      <c r="C81" s="185">
        <v>275131</v>
      </c>
      <c r="D81" s="178">
        <f>ROUND((C81*(1+'Løntabel gældende fra'!$D$7%)),0)</f>
        <v>343673</v>
      </c>
      <c r="E81" s="186">
        <v>280123</v>
      </c>
      <c r="F81" s="187">
        <f>ROUND((E81*(1+'Løntabel gældende fra'!$D$7%)),0)</f>
        <v>349909</v>
      </c>
      <c r="G81" s="185">
        <v>283580</v>
      </c>
      <c r="H81" s="178">
        <f>ROUND((G81*(1+'Løntabel gældende fra'!$D$7%)),0)</f>
        <v>354227</v>
      </c>
      <c r="I81" s="186">
        <v>288573</v>
      </c>
      <c r="J81" s="187">
        <f>ROUND((I81*(1+'Løntabel gældende fra'!$D$7%)),0)</f>
        <v>360464</v>
      </c>
      <c r="K81" s="185">
        <v>292029</v>
      </c>
      <c r="L81" s="178">
        <f>ROUND((K81*(1+'Løntabel gældende fra'!$D$7%)),0)</f>
        <v>364781</v>
      </c>
      <c r="M81" s="382"/>
      <c r="N81" s="360">
        <v>264528.59000000003</v>
      </c>
      <c r="O81" s="192">
        <f>ROUND(N81*(1+'Løntabel gældende fra'!$D$7%),2)</f>
        <v>330429.53999999998</v>
      </c>
    </row>
    <row r="82" spans="1:15">
      <c r="A82" s="2110"/>
      <c r="B82" s="366" t="s">
        <v>206</v>
      </c>
      <c r="C82" s="369"/>
      <c r="D82" s="376">
        <f>ROUND(D81/12,2)</f>
        <v>28639.42</v>
      </c>
      <c r="E82" s="373">
        <f>E81/12</f>
        <v>23343.583333333332</v>
      </c>
      <c r="F82" s="358">
        <f>ROUND(F81/12,2)</f>
        <v>29159.08</v>
      </c>
      <c r="G82" s="369">
        <f>G81/12</f>
        <v>23631.666666666668</v>
      </c>
      <c r="H82" s="376">
        <f>ROUND(H81/12,2)</f>
        <v>29518.92</v>
      </c>
      <c r="I82" s="373">
        <f>I81/12</f>
        <v>24047.75</v>
      </c>
      <c r="J82" s="358">
        <f>ROUND(J81/12,2)</f>
        <v>30038.67</v>
      </c>
      <c r="K82" s="369">
        <f>K81/12</f>
        <v>24335.75</v>
      </c>
      <c r="L82" s="376">
        <f>ROUND(L81/12,2)</f>
        <v>30398.42</v>
      </c>
      <c r="M82" s="381"/>
      <c r="N82" s="359"/>
      <c r="O82" s="361">
        <f>ROUND(O81/12,2)</f>
        <v>27535.8</v>
      </c>
    </row>
    <row r="83" spans="1:15" ht="15" thickBot="1">
      <c r="A83" s="2111"/>
      <c r="B83" s="367" t="s">
        <v>201</v>
      </c>
      <c r="C83" s="182">
        <f>C81/12</f>
        <v>22927.583333333332</v>
      </c>
      <c r="D83" s="183">
        <f>ROUND(D82/160.33,2)</f>
        <v>178.63</v>
      </c>
      <c r="E83" s="374"/>
      <c r="F83" s="183">
        <f t="shared" ref="F83:O83" si="26">ROUND(F82/160.33,2)</f>
        <v>181.87</v>
      </c>
      <c r="G83" s="183">
        <f t="shared" si="26"/>
        <v>147.38999999999999</v>
      </c>
      <c r="H83" s="183">
        <f t="shared" si="26"/>
        <v>184.11</v>
      </c>
      <c r="I83" s="183">
        <f t="shared" si="26"/>
        <v>149.99</v>
      </c>
      <c r="J83" s="183">
        <f t="shared" si="26"/>
        <v>187.36</v>
      </c>
      <c r="K83" s="183">
        <f t="shared" si="26"/>
        <v>151.79</v>
      </c>
      <c r="L83" s="183">
        <f t="shared" si="26"/>
        <v>189.6</v>
      </c>
      <c r="M83" s="183">
        <f t="shared" si="26"/>
        <v>0</v>
      </c>
      <c r="N83" s="183">
        <f t="shared" si="26"/>
        <v>0</v>
      </c>
      <c r="O83" s="183">
        <f t="shared" si="26"/>
        <v>171.74</v>
      </c>
    </row>
    <row r="84" spans="1:15">
      <c r="A84" s="2109">
        <v>27</v>
      </c>
      <c r="B84" s="188" t="s">
        <v>93</v>
      </c>
      <c r="C84" s="177">
        <v>279656</v>
      </c>
      <c r="D84" s="181">
        <f>ROUND((C84*(1+'Løntabel gældende fra'!$D$7%)),0)</f>
        <v>349326</v>
      </c>
      <c r="E84" s="179">
        <v>284456</v>
      </c>
      <c r="F84" s="180">
        <f>ROUND((E84*(1+'Løntabel gældende fra'!$D$7%)),0)</f>
        <v>355321</v>
      </c>
      <c r="G84" s="177">
        <v>287782</v>
      </c>
      <c r="H84" s="181">
        <f>ROUND((G84*(1+'Løntabel gældende fra'!$D$7%)),0)</f>
        <v>359476</v>
      </c>
      <c r="I84" s="179">
        <v>292583</v>
      </c>
      <c r="J84" s="180">
        <f>ROUND((I84*(1+'Løntabel gældende fra'!$D$7%)),0)</f>
        <v>365473</v>
      </c>
      <c r="K84" s="177">
        <v>295908</v>
      </c>
      <c r="L84" s="181">
        <f>ROUND((K84*(1+'Løntabel gældende fra'!$D$7%)),0)</f>
        <v>369626</v>
      </c>
      <c r="M84" s="383"/>
      <c r="N84" s="362">
        <v>269459.90000000002</v>
      </c>
      <c r="O84" s="363">
        <f>ROUND(N84*(1+'Løntabel gældende fra'!$D$7%),2)</f>
        <v>336589.37</v>
      </c>
    </row>
    <row r="85" spans="1:15">
      <c r="A85" s="2110"/>
      <c r="B85" s="366" t="s">
        <v>206</v>
      </c>
      <c r="C85" s="369"/>
      <c r="D85" s="376">
        <f>ROUND(D84/12,2)</f>
        <v>29110.5</v>
      </c>
      <c r="E85" s="373">
        <f>E84/12</f>
        <v>23704.666666666668</v>
      </c>
      <c r="F85" s="358">
        <f>ROUND(F84/12,2)</f>
        <v>29610.080000000002</v>
      </c>
      <c r="G85" s="369">
        <f>G84/12</f>
        <v>23981.833333333332</v>
      </c>
      <c r="H85" s="376">
        <f>ROUND(H84/12,2)</f>
        <v>29956.33</v>
      </c>
      <c r="I85" s="373">
        <f>I84/12</f>
        <v>24381.916666666668</v>
      </c>
      <c r="J85" s="358">
        <f>ROUND(J84/12,2)</f>
        <v>30456.080000000002</v>
      </c>
      <c r="K85" s="369">
        <f>K84/12</f>
        <v>24659</v>
      </c>
      <c r="L85" s="376">
        <f>ROUND(L84/12,2)</f>
        <v>30802.17</v>
      </c>
      <c r="M85" s="381"/>
      <c r="N85" s="359"/>
      <c r="O85" s="361">
        <f>ROUND(O84/12,2)</f>
        <v>28049.11</v>
      </c>
    </row>
    <row r="86" spans="1:15" ht="15" thickBot="1">
      <c r="A86" s="2113"/>
      <c r="B86" s="368" t="s">
        <v>201</v>
      </c>
      <c r="C86" s="372">
        <f>C84/12</f>
        <v>23304.666666666668</v>
      </c>
      <c r="D86" s="183">
        <f>ROUND(D85/160.33,2)</f>
        <v>181.57</v>
      </c>
      <c r="E86" s="375"/>
      <c r="F86" s="183">
        <f t="shared" ref="F86:O86" si="27">ROUND(F85/160.33,2)</f>
        <v>184.68</v>
      </c>
      <c r="G86" s="183">
        <f t="shared" si="27"/>
        <v>149.58000000000001</v>
      </c>
      <c r="H86" s="183">
        <f t="shared" si="27"/>
        <v>186.84</v>
      </c>
      <c r="I86" s="183">
        <f t="shared" si="27"/>
        <v>152.07</v>
      </c>
      <c r="J86" s="183">
        <f t="shared" si="27"/>
        <v>189.96</v>
      </c>
      <c r="K86" s="183">
        <f t="shared" si="27"/>
        <v>153.80000000000001</v>
      </c>
      <c r="L86" s="183">
        <f t="shared" si="27"/>
        <v>192.12</v>
      </c>
      <c r="M86" s="183">
        <f t="shared" si="27"/>
        <v>0</v>
      </c>
      <c r="N86" s="183">
        <f t="shared" si="27"/>
        <v>0</v>
      </c>
      <c r="O86" s="183">
        <f t="shared" si="27"/>
        <v>174.95</v>
      </c>
    </row>
    <row r="87" spans="1:15">
      <c r="A87" s="2112">
        <v>28</v>
      </c>
      <c r="B87" s="189" t="s">
        <v>93</v>
      </c>
      <c r="C87" s="185">
        <v>284283</v>
      </c>
      <c r="D87" s="178">
        <f>ROUND((C87*(1+'Løntabel gældende fra'!$D$7%)),0)</f>
        <v>355105</v>
      </c>
      <c r="E87" s="186">
        <v>288881</v>
      </c>
      <c r="F87" s="187">
        <f>ROUND((E87*(1+'Løntabel gældende fra'!$D$7%)),0)</f>
        <v>360849</v>
      </c>
      <c r="G87" s="185">
        <v>292064</v>
      </c>
      <c r="H87" s="178">
        <f>ROUND((G87*(1+'Løntabel gældende fra'!$D$7%)),0)</f>
        <v>364825</v>
      </c>
      <c r="I87" s="186">
        <v>296661</v>
      </c>
      <c r="J87" s="187">
        <f>ROUND((I87*(1+'Løntabel gældende fra'!$D$7%)),0)</f>
        <v>370567</v>
      </c>
      <c r="K87" s="185">
        <v>299845</v>
      </c>
      <c r="L87" s="178">
        <f>ROUND((K87*(1+'Løntabel gældende fra'!$D$7%)),0)</f>
        <v>374544</v>
      </c>
      <c r="M87" s="382"/>
      <c r="N87" s="360">
        <v>274522.23</v>
      </c>
      <c r="O87" s="192">
        <f>ROUND(N87*(1+'Løntabel gældende fra'!$D$7%),2)</f>
        <v>342912.86</v>
      </c>
    </row>
    <row r="88" spans="1:15">
      <c r="A88" s="2110"/>
      <c r="B88" s="366" t="s">
        <v>206</v>
      </c>
      <c r="C88" s="369"/>
      <c r="D88" s="376">
        <f>ROUND(D87/12,2)</f>
        <v>29592.080000000002</v>
      </c>
      <c r="E88" s="373">
        <f>E87/12</f>
        <v>24073.416666666668</v>
      </c>
      <c r="F88" s="358">
        <f>ROUND(F87/12,2)</f>
        <v>30070.75</v>
      </c>
      <c r="G88" s="369">
        <f>G87/12</f>
        <v>24338.666666666668</v>
      </c>
      <c r="H88" s="376">
        <f>ROUND(H87/12,2)</f>
        <v>30402.080000000002</v>
      </c>
      <c r="I88" s="373">
        <f>I87/12</f>
        <v>24721.75</v>
      </c>
      <c r="J88" s="358">
        <f>ROUND(J87/12,2)</f>
        <v>30880.58</v>
      </c>
      <c r="K88" s="369">
        <f>K87/12</f>
        <v>24987.083333333332</v>
      </c>
      <c r="L88" s="376">
        <f>ROUND(L87/12,2)</f>
        <v>31212</v>
      </c>
      <c r="M88" s="381"/>
      <c r="N88" s="359"/>
      <c r="O88" s="361">
        <f>ROUND(O87/12,2)</f>
        <v>28576.07</v>
      </c>
    </row>
    <row r="89" spans="1:15" ht="15" thickBot="1">
      <c r="A89" s="2111"/>
      <c r="B89" s="367" t="s">
        <v>201</v>
      </c>
      <c r="C89" s="182">
        <f>C87/12</f>
        <v>23690.25</v>
      </c>
      <c r="D89" s="183">
        <f>ROUND(D88/160.33,2)</f>
        <v>184.57</v>
      </c>
      <c r="E89" s="183">
        <f t="shared" ref="E89:O89" si="28">ROUND(E88/160.33,2)</f>
        <v>150.15</v>
      </c>
      <c r="F89" s="183">
        <f t="shared" si="28"/>
        <v>187.56</v>
      </c>
      <c r="G89" s="183">
        <f t="shared" si="28"/>
        <v>151.80000000000001</v>
      </c>
      <c r="H89" s="183">
        <f t="shared" si="28"/>
        <v>189.62</v>
      </c>
      <c r="I89" s="183">
        <f t="shared" si="28"/>
        <v>154.19</v>
      </c>
      <c r="J89" s="183">
        <f t="shared" si="28"/>
        <v>192.61</v>
      </c>
      <c r="K89" s="183">
        <f t="shared" si="28"/>
        <v>155.85</v>
      </c>
      <c r="L89" s="183">
        <f t="shared" si="28"/>
        <v>194.67</v>
      </c>
      <c r="M89" s="183">
        <f t="shared" si="28"/>
        <v>0</v>
      </c>
      <c r="N89" s="183">
        <f t="shared" si="28"/>
        <v>0</v>
      </c>
      <c r="O89" s="183">
        <f t="shared" si="28"/>
        <v>178.23</v>
      </c>
    </row>
    <row r="90" spans="1:15">
      <c r="A90" s="2109">
        <v>29</v>
      </c>
      <c r="B90" s="188" t="s">
        <v>93</v>
      </c>
      <c r="C90" s="177">
        <v>289014</v>
      </c>
      <c r="D90" s="181">
        <f>ROUND((C90*(1+'Løntabel gældende fra'!$D$7%)),0)</f>
        <v>361015</v>
      </c>
      <c r="E90" s="179">
        <v>293394</v>
      </c>
      <c r="F90" s="180">
        <f>ROUND((E90*(1+'Løntabel gældende fra'!$D$7%)),0)</f>
        <v>366486</v>
      </c>
      <c r="G90" s="177">
        <v>296427</v>
      </c>
      <c r="H90" s="181">
        <f>ROUND((G90*(1+'Løntabel gældende fra'!$D$7%)),0)</f>
        <v>370275</v>
      </c>
      <c r="I90" s="179">
        <v>300807</v>
      </c>
      <c r="J90" s="180">
        <f>ROUND((I90*(1+'Løntabel gældende fra'!$D$7%)),0)</f>
        <v>375746</v>
      </c>
      <c r="K90" s="177">
        <v>303839</v>
      </c>
      <c r="L90" s="181">
        <f>ROUND((K90*(1+'Løntabel gældende fra'!$D$7%)),0)</f>
        <v>379533</v>
      </c>
      <c r="M90" s="383"/>
      <c r="N90" s="362">
        <v>279714.99</v>
      </c>
      <c r="O90" s="363">
        <f>ROUND(N90*(1+'Løntabel gældende fra'!$D$7%),2)</f>
        <v>349399.27</v>
      </c>
    </row>
    <row r="91" spans="1:15">
      <c r="A91" s="2110"/>
      <c r="B91" s="366" t="s">
        <v>206</v>
      </c>
      <c r="C91" s="369"/>
      <c r="D91" s="376">
        <f>ROUND(D90/12,2)</f>
        <v>30084.58</v>
      </c>
      <c r="E91" s="373">
        <f>E90/12</f>
        <v>24449.5</v>
      </c>
      <c r="F91" s="358">
        <f>ROUND(F90/12,2)</f>
        <v>30540.5</v>
      </c>
      <c r="G91" s="369">
        <f>G90/12</f>
        <v>24702.25</v>
      </c>
      <c r="H91" s="376">
        <f>ROUND(H90/12,2)</f>
        <v>30856.25</v>
      </c>
      <c r="I91" s="373">
        <f>I90/12</f>
        <v>25067.25</v>
      </c>
      <c r="J91" s="358">
        <f>ROUND(J90/12,2)</f>
        <v>31312.17</v>
      </c>
      <c r="K91" s="369">
        <f>K90/12</f>
        <v>25319.916666666668</v>
      </c>
      <c r="L91" s="376">
        <f>ROUND(L90/12,2)</f>
        <v>31627.75</v>
      </c>
      <c r="M91" s="381"/>
      <c r="N91" s="359"/>
      <c r="O91" s="361">
        <f>ROUND(O90/12,2)</f>
        <v>29116.61</v>
      </c>
    </row>
    <row r="92" spans="1:15" ht="15" thickBot="1">
      <c r="A92" s="2113"/>
      <c r="B92" s="368" t="s">
        <v>201</v>
      </c>
      <c r="C92" s="372">
        <f>C90/12</f>
        <v>24084.5</v>
      </c>
      <c r="D92" s="183">
        <f>ROUND(D91/160.33,2)</f>
        <v>187.64</v>
      </c>
      <c r="E92" s="375"/>
      <c r="F92" s="183">
        <f t="shared" ref="F92:O92" si="29">ROUND(F91/160.33,2)</f>
        <v>190.49</v>
      </c>
      <c r="G92" s="183">
        <f t="shared" si="29"/>
        <v>154.07</v>
      </c>
      <c r="H92" s="183">
        <f t="shared" si="29"/>
        <v>192.45</v>
      </c>
      <c r="I92" s="183">
        <f t="shared" si="29"/>
        <v>156.35</v>
      </c>
      <c r="J92" s="183">
        <f t="shared" si="29"/>
        <v>195.3</v>
      </c>
      <c r="K92" s="183">
        <f t="shared" si="29"/>
        <v>157.91999999999999</v>
      </c>
      <c r="L92" s="183">
        <f t="shared" si="29"/>
        <v>197.27</v>
      </c>
      <c r="M92" s="183">
        <f t="shared" si="29"/>
        <v>0</v>
      </c>
      <c r="N92" s="183">
        <f t="shared" si="29"/>
        <v>0</v>
      </c>
      <c r="O92" s="183">
        <f t="shared" si="29"/>
        <v>181.6</v>
      </c>
    </row>
    <row r="93" spans="1:15">
      <c r="A93" s="2112">
        <v>30</v>
      </c>
      <c r="B93" s="189" t="s">
        <v>93</v>
      </c>
      <c r="C93" s="185">
        <v>293853</v>
      </c>
      <c r="D93" s="178">
        <f>ROUND((C93*(1+'Løntabel gældende fra'!$D$7%)),0)</f>
        <v>367059</v>
      </c>
      <c r="E93" s="186">
        <v>298001</v>
      </c>
      <c r="F93" s="187">
        <f>ROUND((E93*(1+'Løntabel gældende fra'!$D$7%)),0)</f>
        <v>372241</v>
      </c>
      <c r="G93" s="185">
        <v>300872</v>
      </c>
      <c r="H93" s="178">
        <f>ROUND((G93*(1+'Løntabel gældende fra'!$D$7%)),0)</f>
        <v>375827</v>
      </c>
      <c r="I93" s="186">
        <v>305018</v>
      </c>
      <c r="J93" s="187">
        <f>ROUND((I93*(1+'Løntabel gældende fra'!$D$7%)),0)</f>
        <v>381006</v>
      </c>
      <c r="K93" s="185">
        <v>307890</v>
      </c>
      <c r="L93" s="178">
        <f>ROUND((K93*(1+'Løntabel gældende fra'!$D$7%)),0)</f>
        <v>384593</v>
      </c>
      <c r="M93" s="382"/>
      <c r="N93" s="360">
        <v>285044.74</v>
      </c>
      <c r="O93" s="192">
        <f>ROUND(N93*(1+'Løntabel gældende fra'!$D$7%),2)</f>
        <v>356056.8</v>
      </c>
    </row>
    <row r="94" spans="1:15">
      <c r="A94" s="2110"/>
      <c r="B94" s="366" t="s">
        <v>94</v>
      </c>
      <c r="C94" s="369"/>
      <c r="D94" s="376">
        <f>ROUND(D93/12,2)</f>
        <v>30588.25</v>
      </c>
      <c r="E94" s="373">
        <f>E93/12</f>
        <v>24833.416666666668</v>
      </c>
      <c r="F94" s="358">
        <f>ROUND(F93/12,2)</f>
        <v>31020.080000000002</v>
      </c>
      <c r="G94" s="369">
        <f>G93/12</f>
        <v>25072.666666666668</v>
      </c>
      <c r="H94" s="376">
        <f>ROUND(H93/12,2)</f>
        <v>31318.92</v>
      </c>
      <c r="I94" s="373">
        <f>I93/12</f>
        <v>25418.166666666668</v>
      </c>
      <c r="J94" s="358">
        <f>ROUND(J93/12,2)</f>
        <v>31750.5</v>
      </c>
      <c r="K94" s="369">
        <f>K93/12</f>
        <v>25657.5</v>
      </c>
      <c r="L94" s="376">
        <f>ROUND(L93/12,2)</f>
        <v>32049.42</v>
      </c>
      <c r="M94" s="381"/>
      <c r="N94" s="359"/>
      <c r="O94" s="361">
        <f>ROUND(O93/12,2)</f>
        <v>29671.4</v>
      </c>
    </row>
    <row r="95" spans="1:15" ht="15" thickBot="1">
      <c r="A95" s="2111"/>
      <c r="B95" s="367" t="s">
        <v>201</v>
      </c>
      <c r="C95" s="182">
        <f>C93/12</f>
        <v>24487.75</v>
      </c>
      <c r="D95" s="183">
        <f>ROUND(D94/160.33,2)</f>
        <v>190.78</v>
      </c>
      <c r="E95" s="374"/>
      <c r="F95" s="183">
        <f t="shared" ref="F95:O95" si="30">ROUND(F94/160.33,2)</f>
        <v>193.48</v>
      </c>
      <c r="G95" s="183">
        <f t="shared" si="30"/>
        <v>156.38</v>
      </c>
      <c r="H95" s="183">
        <f t="shared" si="30"/>
        <v>195.34</v>
      </c>
      <c r="I95" s="183">
        <f t="shared" si="30"/>
        <v>158.54</v>
      </c>
      <c r="J95" s="183">
        <f t="shared" si="30"/>
        <v>198.03</v>
      </c>
      <c r="K95" s="183">
        <f t="shared" si="30"/>
        <v>160.03</v>
      </c>
      <c r="L95" s="183">
        <f t="shared" si="30"/>
        <v>199.9</v>
      </c>
      <c r="M95" s="183">
        <f t="shared" si="30"/>
        <v>0</v>
      </c>
      <c r="N95" s="183">
        <f t="shared" si="30"/>
        <v>0</v>
      </c>
      <c r="O95" s="183">
        <f t="shared" si="30"/>
        <v>185.06</v>
      </c>
    </row>
    <row r="96" spans="1:15">
      <c r="A96" s="2109">
        <v>31</v>
      </c>
      <c r="B96" s="188" t="s">
        <v>93</v>
      </c>
      <c r="C96" s="177">
        <v>298795</v>
      </c>
      <c r="D96" s="181">
        <f>ROUND((C96*(1+'Løntabel gældende fra'!$D$7%)),0)</f>
        <v>373233</v>
      </c>
      <c r="E96" s="179">
        <v>302696</v>
      </c>
      <c r="F96" s="180">
        <f>ROUND((E96*(1+'Løntabel gældende fra'!$D$7%)),0)</f>
        <v>378105</v>
      </c>
      <c r="G96" s="177">
        <v>305398</v>
      </c>
      <c r="H96" s="181">
        <f>ROUND((G96*(1+'Løntabel gældende fra'!$D$7%)),0)</f>
        <v>381481</v>
      </c>
      <c r="I96" s="179">
        <v>309299</v>
      </c>
      <c r="J96" s="180">
        <f>ROUND((I96*(1+'Løntabel gældende fra'!$D$7%)),0)</f>
        <v>386353</v>
      </c>
      <c r="K96" s="177">
        <v>312000</v>
      </c>
      <c r="L96" s="181">
        <f>ROUND((K96*(1+'Løntabel gældende fra'!$D$7%)),0)</f>
        <v>389727</v>
      </c>
      <c r="M96" s="383"/>
      <c r="N96" s="362">
        <v>290512.64000000001</v>
      </c>
      <c r="O96" s="363">
        <f>ROUND(N96*(1+'Løntabel gældende fra'!$D$7%),2)</f>
        <v>362886.89</v>
      </c>
    </row>
    <row r="97" spans="1:15">
      <c r="A97" s="2110"/>
      <c r="B97" s="366" t="s">
        <v>206</v>
      </c>
      <c r="C97" s="369"/>
      <c r="D97" s="376">
        <f>ROUND(D96/12,2)</f>
        <v>31102.75</v>
      </c>
      <c r="E97" s="373">
        <f>E96/12</f>
        <v>25224.666666666668</v>
      </c>
      <c r="F97" s="358">
        <f>ROUND(F96/12,2)</f>
        <v>31508.75</v>
      </c>
      <c r="G97" s="369">
        <f>G96/12</f>
        <v>25449.833333333332</v>
      </c>
      <c r="H97" s="376">
        <f>ROUND(H96/12,2)</f>
        <v>31790.080000000002</v>
      </c>
      <c r="I97" s="373">
        <f>I96/12</f>
        <v>25774.916666666668</v>
      </c>
      <c r="J97" s="358">
        <f>ROUND(J96/12,2)</f>
        <v>32196.080000000002</v>
      </c>
      <c r="K97" s="369">
        <f>K96/12</f>
        <v>26000</v>
      </c>
      <c r="L97" s="376">
        <f>ROUND(L96/12,2)</f>
        <v>32477.25</v>
      </c>
      <c r="M97" s="381"/>
      <c r="N97" s="359"/>
      <c r="O97" s="361">
        <f>ROUND(O96/12,2)</f>
        <v>30240.57</v>
      </c>
    </row>
    <row r="98" spans="1:15" ht="15" thickBot="1">
      <c r="A98" s="2113"/>
      <c r="B98" s="368" t="s">
        <v>201</v>
      </c>
      <c r="C98" s="372">
        <f>C96/12</f>
        <v>24899.583333333332</v>
      </c>
      <c r="D98" s="183">
        <f>ROUND(D97/160.33,2)</f>
        <v>193.99</v>
      </c>
      <c r="E98" s="375"/>
      <c r="F98" s="183">
        <f t="shared" ref="F98:O98" si="31">ROUND(F97/160.33,2)</f>
        <v>196.52</v>
      </c>
      <c r="G98" s="183">
        <f t="shared" si="31"/>
        <v>158.72999999999999</v>
      </c>
      <c r="H98" s="183">
        <f t="shared" si="31"/>
        <v>198.28</v>
      </c>
      <c r="I98" s="183">
        <f t="shared" si="31"/>
        <v>160.76</v>
      </c>
      <c r="J98" s="183">
        <f t="shared" si="31"/>
        <v>200.81</v>
      </c>
      <c r="K98" s="183">
        <f t="shared" si="31"/>
        <v>162.16999999999999</v>
      </c>
      <c r="L98" s="183">
        <f t="shared" si="31"/>
        <v>202.57</v>
      </c>
      <c r="M98" s="183">
        <f t="shared" si="31"/>
        <v>0</v>
      </c>
      <c r="N98" s="183">
        <f t="shared" si="31"/>
        <v>0</v>
      </c>
      <c r="O98" s="183">
        <f t="shared" si="31"/>
        <v>188.61</v>
      </c>
    </row>
    <row r="99" spans="1:15">
      <c r="A99" s="2112">
        <v>32</v>
      </c>
      <c r="B99" s="189" t="s">
        <v>93</v>
      </c>
      <c r="C99" s="185">
        <v>303852</v>
      </c>
      <c r="D99" s="178">
        <f>ROUND((C99*(1+'Løntabel gældende fra'!$D$7%)),0)</f>
        <v>379549</v>
      </c>
      <c r="E99" s="186">
        <v>307490</v>
      </c>
      <c r="F99" s="187">
        <f>ROUND((E99*(1+'Løntabel gældende fra'!$D$7%)),0)</f>
        <v>384094</v>
      </c>
      <c r="G99" s="185">
        <v>310009</v>
      </c>
      <c r="H99" s="178">
        <f>ROUND((G99*(1+'Løntabel gældende fra'!$D$7%)),0)</f>
        <v>387240</v>
      </c>
      <c r="I99" s="186">
        <v>313649</v>
      </c>
      <c r="J99" s="187">
        <f>ROUND((I99*(1+'Løntabel gældende fra'!$D$7%)),0)</f>
        <v>391787</v>
      </c>
      <c r="K99" s="185">
        <v>316167</v>
      </c>
      <c r="L99" s="178">
        <f>ROUND((K99*(1+'Løntabel gældende fra'!$D$7%)),0)</f>
        <v>394932</v>
      </c>
      <c r="M99" s="382"/>
      <c r="N99" s="360">
        <v>296125.21000000002</v>
      </c>
      <c r="O99" s="192">
        <f>ROUND(N99*(1+'Løntabel gældende fra'!$D$7%),2)</f>
        <v>369897.7</v>
      </c>
    </row>
    <row r="100" spans="1:15">
      <c r="A100" s="2110"/>
      <c r="B100" s="366" t="s">
        <v>94</v>
      </c>
      <c r="C100" s="369"/>
      <c r="D100" s="376">
        <f>ROUND(D99/12,2)</f>
        <v>31629.08</v>
      </c>
      <c r="E100" s="373">
        <f>E99/12</f>
        <v>25624.166666666668</v>
      </c>
      <c r="F100" s="358">
        <f>ROUND(F99/12,2)</f>
        <v>32007.83</v>
      </c>
      <c r="G100" s="369">
        <f>G99/12</f>
        <v>25834.083333333332</v>
      </c>
      <c r="H100" s="376">
        <f>ROUND(H99/12,2)</f>
        <v>32270</v>
      </c>
      <c r="I100" s="373">
        <f>I99/12</f>
        <v>26137.416666666668</v>
      </c>
      <c r="J100" s="358">
        <f>ROUND(J99/12,2)</f>
        <v>32648.92</v>
      </c>
      <c r="K100" s="369">
        <f>K99/12</f>
        <v>26347.25</v>
      </c>
      <c r="L100" s="376">
        <f>ROUND(L99/12,2)</f>
        <v>32911</v>
      </c>
      <c r="M100" s="381"/>
      <c r="N100" s="359"/>
      <c r="O100" s="361">
        <f>ROUND(O99/12,2)</f>
        <v>30824.81</v>
      </c>
    </row>
    <row r="101" spans="1:15" ht="15" thickBot="1">
      <c r="A101" s="2111"/>
      <c r="B101" s="367" t="s">
        <v>201</v>
      </c>
      <c r="C101" s="182">
        <f>C99/12</f>
        <v>25321</v>
      </c>
      <c r="D101" s="183">
        <f>ROUND(D100/160.33,2)</f>
        <v>197.27</v>
      </c>
      <c r="E101" s="374"/>
      <c r="F101" s="183">
        <f t="shared" ref="F101:O101" si="32">ROUND(F100/160.33,2)</f>
        <v>199.64</v>
      </c>
      <c r="G101" s="183">
        <f t="shared" si="32"/>
        <v>161.13</v>
      </c>
      <c r="H101" s="183">
        <f t="shared" si="32"/>
        <v>201.27</v>
      </c>
      <c r="I101" s="183">
        <f t="shared" si="32"/>
        <v>163.02000000000001</v>
      </c>
      <c r="J101" s="183">
        <f t="shared" si="32"/>
        <v>203.64</v>
      </c>
      <c r="K101" s="183">
        <f t="shared" si="32"/>
        <v>164.33</v>
      </c>
      <c r="L101" s="183">
        <f t="shared" si="32"/>
        <v>205.27</v>
      </c>
      <c r="M101" s="183">
        <f t="shared" si="32"/>
        <v>0</v>
      </c>
      <c r="N101" s="183">
        <f t="shared" si="32"/>
        <v>0</v>
      </c>
      <c r="O101" s="183">
        <f t="shared" si="32"/>
        <v>192.26</v>
      </c>
    </row>
    <row r="102" spans="1:15">
      <c r="A102" s="2109">
        <v>33</v>
      </c>
      <c r="B102" s="188" t="s">
        <v>93</v>
      </c>
      <c r="C102" s="177">
        <v>309016</v>
      </c>
      <c r="D102" s="181">
        <f>ROUND((C102*(1+'Løntabel gældende fra'!$D$7%)),0)</f>
        <v>386000</v>
      </c>
      <c r="E102" s="179">
        <v>312375</v>
      </c>
      <c r="F102" s="180">
        <f>ROUND((E102*(1+'Løntabel gældende fra'!$D$7%)),0)</f>
        <v>390196</v>
      </c>
      <c r="G102" s="177">
        <v>314703</v>
      </c>
      <c r="H102" s="181">
        <f>ROUND((G102*(1+'Løntabel gældende fra'!$D$7%)),0)</f>
        <v>393104</v>
      </c>
      <c r="I102" s="179">
        <v>318063</v>
      </c>
      <c r="J102" s="180">
        <f>ROUND((I102*(1+'Løntabel gældende fra'!$D$7%)),0)</f>
        <v>397301</v>
      </c>
      <c r="K102" s="177">
        <v>320390</v>
      </c>
      <c r="L102" s="181">
        <f>ROUND((K102*(1+'Løntabel gældende fra'!$D$7%)),0)</f>
        <v>400207</v>
      </c>
      <c r="M102" s="383"/>
      <c r="N102" s="362">
        <v>301881.8</v>
      </c>
      <c r="O102" s="363">
        <f>ROUND(N102*(1+'Løntabel gældende fra'!$D$7%),2)</f>
        <v>377088.41</v>
      </c>
    </row>
    <row r="103" spans="1:15">
      <c r="A103" s="2110"/>
      <c r="B103" s="366" t="s">
        <v>206</v>
      </c>
      <c r="C103" s="369"/>
      <c r="D103" s="376">
        <f>ROUND(D102/12,2)</f>
        <v>32166.67</v>
      </c>
      <c r="E103" s="373">
        <f>E102/12</f>
        <v>26031.25</v>
      </c>
      <c r="F103" s="358">
        <f>ROUND(F102/12,2)</f>
        <v>32516.33</v>
      </c>
      <c r="G103" s="369">
        <f>G102/12</f>
        <v>26225.25</v>
      </c>
      <c r="H103" s="376">
        <f>ROUND(H102/12,2)</f>
        <v>32758.67</v>
      </c>
      <c r="I103" s="373">
        <f>I102/12</f>
        <v>26505.25</v>
      </c>
      <c r="J103" s="358">
        <f>ROUND(J102/12,2)</f>
        <v>33108.42</v>
      </c>
      <c r="K103" s="369">
        <f>K102/12</f>
        <v>26699.166666666668</v>
      </c>
      <c r="L103" s="376">
        <f>ROUND(L102/12,2)</f>
        <v>33350.58</v>
      </c>
      <c r="M103" s="381"/>
      <c r="N103" s="359"/>
      <c r="O103" s="361">
        <f>ROUND(O102/12,2)</f>
        <v>31424.03</v>
      </c>
    </row>
    <row r="104" spans="1:15" ht="15" thickBot="1">
      <c r="A104" s="2113"/>
      <c r="B104" s="368" t="s">
        <v>201</v>
      </c>
      <c r="C104" s="372">
        <f>C102/12</f>
        <v>25751.333333333332</v>
      </c>
      <c r="D104" s="183">
        <f>ROUND(D103/160.33,2)</f>
        <v>200.63</v>
      </c>
      <c r="E104" s="375"/>
      <c r="F104" s="183">
        <f t="shared" ref="F104:O104" si="33">ROUND(F103/160.33,2)</f>
        <v>202.81</v>
      </c>
      <c r="G104" s="183">
        <f t="shared" si="33"/>
        <v>163.57</v>
      </c>
      <c r="H104" s="183">
        <f t="shared" si="33"/>
        <v>204.32</v>
      </c>
      <c r="I104" s="183">
        <f t="shared" si="33"/>
        <v>165.32</v>
      </c>
      <c r="J104" s="183">
        <f t="shared" si="33"/>
        <v>206.5</v>
      </c>
      <c r="K104" s="183">
        <f t="shared" si="33"/>
        <v>166.53</v>
      </c>
      <c r="L104" s="183">
        <f t="shared" si="33"/>
        <v>208.01</v>
      </c>
      <c r="M104" s="183">
        <f t="shared" si="33"/>
        <v>0</v>
      </c>
      <c r="N104" s="183">
        <f t="shared" si="33"/>
        <v>0</v>
      </c>
      <c r="O104" s="183">
        <f t="shared" si="33"/>
        <v>196</v>
      </c>
    </row>
    <row r="105" spans="1:15">
      <c r="A105" s="2112">
        <v>34</v>
      </c>
      <c r="B105" s="189" t="s">
        <v>93</v>
      </c>
      <c r="C105" s="185">
        <v>314298</v>
      </c>
      <c r="D105" s="178">
        <f>ROUND((C105*(1+'Løntabel gældende fra'!$D$7%)),0)</f>
        <v>392598</v>
      </c>
      <c r="E105" s="186">
        <v>317363</v>
      </c>
      <c r="F105" s="187">
        <f>ROUND((E105*(1+'Løntabel gældende fra'!$D$7%)),0)</f>
        <v>396426</v>
      </c>
      <c r="G105" s="185">
        <v>319485</v>
      </c>
      <c r="H105" s="178">
        <f>ROUND((G105*(1+'Løntabel gældende fra'!$D$7%)),0)</f>
        <v>399077</v>
      </c>
      <c r="I105" s="186">
        <v>322548</v>
      </c>
      <c r="J105" s="187">
        <f>ROUND((I105*(1+'Løntabel gældende fra'!$D$7%)),0)</f>
        <v>402903</v>
      </c>
      <c r="K105" s="185">
        <v>324670</v>
      </c>
      <c r="L105" s="178">
        <f>ROUND((K105*(1+'Løntabel gældende fra'!$D$7%)),0)</f>
        <v>405554</v>
      </c>
      <c r="M105" s="382"/>
      <c r="N105" s="360">
        <v>307790.62</v>
      </c>
      <c r="O105" s="192">
        <f>ROUND(N105*(1+'Løntabel gældende fra'!$D$7%),2)</f>
        <v>384469.27</v>
      </c>
    </row>
    <row r="106" spans="1:15">
      <c r="A106" s="2110"/>
      <c r="B106" s="366" t="s">
        <v>206</v>
      </c>
      <c r="C106" s="369"/>
      <c r="D106" s="376">
        <f>ROUND(D105/12,2)</f>
        <v>32716.5</v>
      </c>
      <c r="E106" s="373">
        <f>E105/12</f>
        <v>26446.916666666668</v>
      </c>
      <c r="F106" s="358">
        <f>ROUND(F105/12,2)</f>
        <v>33035.5</v>
      </c>
      <c r="G106" s="369">
        <f>G105/12</f>
        <v>26623.75</v>
      </c>
      <c r="H106" s="376">
        <f>ROUND(H105/12,2)</f>
        <v>33256.42</v>
      </c>
      <c r="I106" s="373">
        <f>I105/12</f>
        <v>26879</v>
      </c>
      <c r="J106" s="358">
        <f>ROUND(J105/12,2)</f>
        <v>33575.25</v>
      </c>
      <c r="K106" s="369">
        <f>K105/12</f>
        <v>27055.833333333332</v>
      </c>
      <c r="L106" s="376">
        <f>ROUND(L105/12,2)</f>
        <v>33796.17</v>
      </c>
      <c r="M106" s="381"/>
      <c r="N106" s="359"/>
      <c r="O106" s="361">
        <f>ROUND(O105/12,2)</f>
        <v>32039.11</v>
      </c>
    </row>
    <row r="107" spans="1:15" ht="15" thickBot="1">
      <c r="A107" s="2111"/>
      <c r="B107" s="367" t="s">
        <v>201</v>
      </c>
      <c r="C107" s="182">
        <f>C105/12</f>
        <v>26191.5</v>
      </c>
      <c r="D107" s="183">
        <f>ROUND(D106/160.33,2)</f>
        <v>204.06</v>
      </c>
      <c r="E107" s="374"/>
      <c r="F107" s="183">
        <f t="shared" ref="F107:O107" si="34">ROUND(F106/160.33,2)</f>
        <v>206.05</v>
      </c>
      <c r="G107" s="183">
        <f t="shared" si="34"/>
        <v>166.06</v>
      </c>
      <c r="H107" s="183">
        <f t="shared" si="34"/>
        <v>207.42</v>
      </c>
      <c r="I107" s="183">
        <f t="shared" si="34"/>
        <v>167.65</v>
      </c>
      <c r="J107" s="183">
        <f t="shared" si="34"/>
        <v>209.41</v>
      </c>
      <c r="K107" s="183">
        <f t="shared" si="34"/>
        <v>168.75</v>
      </c>
      <c r="L107" s="183">
        <f t="shared" si="34"/>
        <v>210.79</v>
      </c>
      <c r="M107" s="183">
        <f t="shared" si="34"/>
        <v>0</v>
      </c>
      <c r="N107" s="183">
        <f t="shared" si="34"/>
        <v>0</v>
      </c>
      <c r="O107" s="183">
        <f t="shared" si="34"/>
        <v>199.83</v>
      </c>
    </row>
    <row r="108" spans="1:15">
      <c r="A108" s="2109">
        <v>35</v>
      </c>
      <c r="B108" s="188" t="s">
        <v>93</v>
      </c>
      <c r="C108" s="177">
        <v>319697</v>
      </c>
      <c r="D108" s="181">
        <f>ROUND((C108*(1+'Løntabel gældende fra'!$D$7%)),0)</f>
        <v>399342</v>
      </c>
      <c r="E108" s="179">
        <v>322450</v>
      </c>
      <c r="F108" s="180">
        <f>ROUND((E108*(1+'Løntabel gældende fra'!$D$7%)),0)</f>
        <v>402781</v>
      </c>
      <c r="G108" s="177">
        <v>324354</v>
      </c>
      <c r="H108" s="181">
        <f>ROUND((G108*(1+'Løntabel gældende fra'!$D$7%)),0)</f>
        <v>405159</v>
      </c>
      <c r="I108" s="179">
        <v>327107</v>
      </c>
      <c r="J108" s="180">
        <f>ROUND((I108*(1+'Løntabel gældende fra'!$D$7%)),0)</f>
        <v>408598</v>
      </c>
      <c r="K108" s="177">
        <v>329011</v>
      </c>
      <c r="L108" s="181">
        <f>ROUND((K108*(1+'Løntabel gældende fra'!$D$7%)),0)</f>
        <v>410976</v>
      </c>
      <c r="M108" s="383"/>
      <c r="N108" s="362">
        <v>313854.56</v>
      </c>
      <c r="O108" s="363">
        <f>ROUND(N108*(1+'Løntabel gældende fra'!$D$7%),2)</f>
        <v>392043.89</v>
      </c>
    </row>
    <row r="109" spans="1:15">
      <c r="A109" s="2110"/>
      <c r="B109" s="366" t="s">
        <v>206</v>
      </c>
      <c r="C109" s="369"/>
      <c r="D109" s="376">
        <f>ROUND(D108/12,2)</f>
        <v>33278.5</v>
      </c>
      <c r="E109" s="373">
        <f>E108/12</f>
        <v>26870.833333333332</v>
      </c>
      <c r="F109" s="358">
        <f>ROUND(F108/12,2)</f>
        <v>33565.08</v>
      </c>
      <c r="G109" s="369">
        <f>G108/12</f>
        <v>27029.5</v>
      </c>
      <c r="H109" s="376">
        <f>ROUND(H108/12,2)</f>
        <v>33763.25</v>
      </c>
      <c r="I109" s="373">
        <f>I108/12</f>
        <v>27258.916666666668</v>
      </c>
      <c r="J109" s="358">
        <f>ROUND(J108/12,2)</f>
        <v>34049.83</v>
      </c>
      <c r="K109" s="369">
        <f>K108/12</f>
        <v>27417.583333333332</v>
      </c>
      <c r="L109" s="376">
        <f>ROUND(L108/12,2)</f>
        <v>34248</v>
      </c>
      <c r="M109" s="381"/>
      <c r="N109" s="359"/>
      <c r="O109" s="361">
        <f>ROUND(O108/12,2)</f>
        <v>32670.32</v>
      </c>
    </row>
    <row r="110" spans="1:15" ht="15" thickBot="1">
      <c r="A110" s="2113"/>
      <c r="B110" s="368" t="s">
        <v>201</v>
      </c>
      <c r="C110" s="372">
        <f>C108/12</f>
        <v>26641.416666666668</v>
      </c>
      <c r="D110" s="183">
        <f>ROUND(D109/160.33,2)</f>
        <v>207.56</v>
      </c>
      <c r="E110" s="375"/>
      <c r="F110" s="183">
        <f t="shared" ref="F110:O110" si="35">ROUND(F109/160.33,2)</f>
        <v>209.35</v>
      </c>
      <c r="G110" s="183">
        <f t="shared" si="35"/>
        <v>168.59</v>
      </c>
      <c r="H110" s="183">
        <f t="shared" si="35"/>
        <v>210.59</v>
      </c>
      <c r="I110" s="183">
        <f t="shared" si="35"/>
        <v>170.02</v>
      </c>
      <c r="J110" s="183">
        <f t="shared" si="35"/>
        <v>212.37</v>
      </c>
      <c r="K110" s="183">
        <f t="shared" si="35"/>
        <v>171.01</v>
      </c>
      <c r="L110" s="183">
        <f t="shared" si="35"/>
        <v>213.61</v>
      </c>
      <c r="M110" s="183">
        <f t="shared" si="35"/>
        <v>0</v>
      </c>
      <c r="N110" s="183">
        <f t="shared" si="35"/>
        <v>0</v>
      </c>
      <c r="O110" s="183">
        <f t="shared" si="35"/>
        <v>203.77</v>
      </c>
    </row>
    <row r="111" spans="1:15">
      <c r="A111" s="2112">
        <v>36</v>
      </c>
      <c r="B111" s="189" t="s">
        <v>93</v>
      </c>
      <c r="C111" s="185">
        <v>325214</v>
      </c>
      <c r="D111" s="178">
        <f>ROUND((C111*(1+'Løntabel gældende fra'!$D$7%)),0)</f>
        <v>406233</v>
      </c>
      <c r="E111" s="186">
        <v>327634</v>
      </c>
      <c r="F111" s="187">
        <f>ROUND((E111*(1+'Løntabel gældende fra'!$D$7%)),0)</f>
        <v>409256</v>
      </c>
      <c r="G111" s="185">
        <v>329310</v>
      </c>
      <c r="H111" s="178">
        <f>ROUND((G111*(1+'Løntabel gældende fra'!$D$7%)),0)</f>
        <v>411350</v>
      </c>
      <c r="I111" s="186">
        <v>331731</v>
      </c>
      <c r="J111" s="187">
        <f>ROUND((I111*(1+'Løntabel gældende fra'!$D$7%)),0)</f>
        <v>414374</v>
      </c>
      <c r="K111" s="185">
        <v>333406</v>
      </c>
      <c r="L111" s="178">
        <f>ROUND((K111*(1+'Løntabel gældende fra'!$D$7%)),0)</f>
        <v>416466</v>
      </c>
      <c r="M111" s="382"/>
      <c r="N111" s="360">
        <v>320074.68</v>
      </c>
      <c r="O111" s="192">
        <f>ROUND(N111*(1+'Løntabel gældende fra'!$D$7%),2)</f>
        <v>399813.6</v>
      </c>
    </row>
    <row r="112" spans="1:15">
      <c r="A112" s="2110"/>
      <c r="B112" s="366" t="s">
        <v>206</v>
      </c>
      <c r="C112" s="369"/>
      <c r="D112" s="376">
        <f>ROUND(D111/12,2)</f>
        <v>33852.75</v>
      </c>
      <c r="E112" s="373">
        <f>E111/12</f>
        <v>27302.833333333332</v>
      </c>
      <c r="F112" s="358">
        <f>ROUND(F111/12,2)</f>
        <v>34104.67</v>
      </c>
      <c r="G112" s="369">
        <f>G111/12</f>
        <v>27442.5</v>
      </c>
      <c r="H112" s="376">
        <f>ROUND(H111/12,2)</f>
        <v>34279.17</v>
      </c>
      <c r="I112" s="373">
        <f>I111/12</f>
        <v>27644.25</v>
      </c>
      <c r="J112" s="358">
        <f>ROUND(J111/12,2)</f>
        <v>34531.17</v>
      </c>
      <c r="K112" s="369">
        <f>K111/12</f>
        <v>27783.833333333332</v>
      </c>
      <c r="L112" s="376">
        <f>ROUND(L111/12,2)</f>
        <v>34705.5</v>
      </c>
      <c r="M112" s="381"/>
      <c r="N112" s="359"/>
      <c r="O112" s="361">
        <f>ROUND(O111/12,2)</f>
        <v>33317.800000000003</v>
      </c>
    </row>
    <row r="113" spans="1:15" ht="15" thickBot="1">
      <c r="A113" s="2111"/>
      <c r="B113" s="367" t="s">
        <v>201</v>
      </c>
      <c r="C113" s="182">
        <f>C111/12</f>
        <v>27101.166666666668</v>
      </c>
      <c r="D113" s="183">
        <f>ROUND(D112/160.33,2)</f>
        <v>211.14</v>
      </c>
      <c r="E113" s="374"/>
      <c r="F113" s="183">
        <f t="shared" ref="F113:O113" si="36">ROUND(F112/160.33,2)</f>
        <v>212.72</v>
      </c>
      <c r="G113" s="183">
        <f t="shared" si="36"/>
        <v>171.16</v>
      </c>
      <c r="H113" s="183">
        <f t="shared" si="36"/>
        <v>213.8</v>
      </c>
      <c r="I113" s="183">
        <f t="shared" si="36"/>
        <v>172.42</v>
      </c>
      <c r="J113" s="183">
        <f t="shared" si="36"/>
        <v>215.38</v>
      </c>
      <c r="K113" s="183">
        <f t="shared" si="36"/>
        <v>173.29</v>
      </c>
      <c r="L113" s="183">
        <f t="shared" si="36"/>
        <v>216.46</v>
      </c>
      <c r="M113" s="183">
        <f t="shared" si="36"/>
        <v>0</v>
      </c>
      <c r="N113" s="183">
        <f t="shared" si="36"/>
        <v>0</v>
      </c>
      <c r="O113" s="183">
        <f t="shared" si="36"/>
        <v>207.81</v>
      </c>
    </row>
    <row r="114" spans="1:15">
      <c r="A114" s="2109">
        <v>37</v>
      </c>
      <c r="B114" s="188" t="s">
        <v>93</v>
      </c>
      <c r="C114" s="177">
        <v>330853</v>
      </c>
      <c r="D114" s="181">
        <f>ROUND((C114*(1+'Løntabel gældende fra'!$D$7%)),0)</f>
        <v>413277</v>
      </c>
      <c r="E114" s="179">
        <v>332923</v>
      </c>
      <c r="F114" s="180">
        <f>ROUND((E114*(1+'Løntabel gældende fra'!$D$7%)),0)</f>
        <v>415863</v>
      </c>
      <c r="G114" s="177">
        <v>334355</v>
      </c>
      <c r="H114" s="181">
        <f>ROUND((G114*(1+'Løntabel gældende fra'!$D$7%)),0)</f>
        <v>417652</v>
      </c>
      <c r="I114" s="179">
        <v>336425</v>
      </c>
      <c r="J114" s="180">
        <f>ROUND((I114*(1+'Løntabel gældende fra'!$D$7%)),0)</f>
        <v>420237</v>
      </c>
      <c r="K114" s="177">
        <v>337859</v>
      </c>
      <c r="L114" s="181">
        <f>ROUND((K114*(1+'Løntabel gældende fra'!$D$7%)),0)</f>
        <v>422028</v>
      </c>
      <c r="M114" s="383"/>
      <c r="N114" s="362">
        <v>326457.34000000003</v>
      </c>
      <c r="O114" s="363">
        <f>ROUND(N114*(1+'Løntabel gældende fra'!$D$7%),2)</f>
        <v>407786.35</v>
      </c>
    </row>
    <row r="115" spans="1:15">
      <c r="A115" s="2110"/>
      <c r="B115" s="366" t="s">
        <v>206</v>
      </c>
      <c r="C115" s="369"/>
      <c r="D115" s="376">
        <f>ROUND(D114/12,2)</f>
        <v>34439.75</v>
      </c>
      <c r="E115" s="373">
        <f>E114/12</f>
        <v>27743.583333333332</v>
      </c>
      <c r="F115" s="358">
        <f>ROUND(F114/12,2)</f>
        <v>34655.25</v>
      </c>
      <c r="G115" s="369">
        <f>G114/12</f>
        <v>27862.916666666668</v>
      </c>
      <c r="H115" s="376">
        <f>ROUND(H114/12,2)</f>
        <v>34804.33</v>
      </c>
      <c r="I115" s="373">
        <f>I114/12</f>
        <v>28035.416666666668</v>
      </c>
      <c r="J115" s="358">
        <f>ROUND(J114/12,2)</f>
        <v>35019.75</v>
      </c>
      <c r="K115" s="369">
        <f>K114/12</f>
        <v>28154.916666666668</v>
      </c>
      <c r="L115" s="376">
        <f>ROUND(L114/12,2)</f>
        <v>35169</v>
      </c>
      <c r="M115" s="381"/>
      <c r="N115" s="359"/>
      <c r="O115" s="361">
        <f>ROUND(O114/12,2)</f>
        <v>33982.199999999997</v>
      </c>
    </row>
    <row r="116" spans="1:15" ht="15" thickBot="1">
      <c r="A116" s="2113"/>
      <c r="B116" s="368" t="s">
        <v>201</v>
      </c>
      <c r="C116" s="372">
        <f>C114/12</f>
        <v>27571.083333333332</v>
      </c>
      <c r="D116" s="183">
        <f>ROUND(D115/160.33,2)</f>
        <v>214.81</v>
      </c>
      <c r="E116" s="375"/>
      <c r="F116" s="183">
        <f t="shared" ref="F116:O116" si="37">ROUND(F115/160.33,2)</f>
        <v>216.15</v>
      </c>
      <c r="G116" s="183">
        <f t="shared" si="37"/>
        <v>173.78</v>
      </c>
      <c r="H116" s="183">
        <f t="shared" si="37"/>
        <v>217.08</v>
      </c>
      <c r="I116" s="183">
        <f t="shared" si="37"/>
        <v>174.86</v>
      </c>
      <c r="J116" s="183">
        <f t="shared" si="37"/>
        <v>218.42</v>
      </c>
      <c r="K116" s="183">
        <f t="shared" si="37"/>
        <v>175.61</v>
      </c>
      <c r="L116" s="183">
        <f t="shared" si="37"/>
        <v>219.35</v>
      </c>
      <c r="M116" s="183">
        <f t="shared" si="37"/>
        <v>0</v>
      </c>
      <c r="N116" s="183">
        <f t="shared" si="37"/>
        <v>0</v>
      </c>
      <c r="O116" s="183">
        <f t="shared" si="37"/>
        <v>211.95</v>
      </c>
    </row>
    <row r="117" spans="1:15">
      <c r="A117" s="2112">
        <v>38</v>
      </c>
      <c r="B117" s="189" t="s">
        <v>93</v>
      </c>
      <c r="C117" s="185">
        <v>336808</v>
      </c>
      <c r="D117" s="178">
        <f>ROUND((C117*(1+'Løntabel gældende fra'!$D$7%)),0)</f>
        <v>420716</v>
      </c>
      <c r="E117" s="186">
        <v>338540</v>
      </c>
      <c r="F117" s="187">
        <f>ROUND((E117*(1+'Løntabel gældende fra'!$D$7%)),0)</f>
        <v>422879</v>
      </c>
      <c r="G117" s="185">
        <v>339739</v>
      </c>
      <c r="H117" s="178">
        <f>ROUND((G117*(1+'Løntabel gældende fra'!$D$7%)),0)</f>
        <v>424377</v>
      </c>
      <c r="I117" s="186">
        <v>341471</v>
      </c>
      <c r="J117" s="187">
        <f>ROUND((I117*(1+'Løntabel gældende fra'!$D$7%)),0)</f>
        <v>426540</v>
      </c>
      <c r="K117" s="185">
        <v>342672</v>
      </c>
      <c r="L117" s="178">
        <f>ROUND((K117*(1+'Løntabel gældende fra'!$D$7%)),0)</f>
        <v>428041</v>
      </c>
      <c r="M117" s="382"/>
      <c r="N117" s="360">
        <v>333128.88</v>
      </c>
      <c r="O117" s="192">
        <f>ROUND(N117*(1+'Løntabel gældende fra'!$D$7%),2)</f>
        <v>416119.95</v>
      </c>
    </row>
    <row r="118" spans="1:15">
      <c r="A118" s="2110"/>
      <c r="B118" s="366" t="s">
        <v>206</v>
      </c>
      <c r="C118" s="369"/>
      <c r="D118" s="376">
        <f>ROUND(D117/12,2)</f>
        <v>35059.67</v>
      </c>
      <c r="E118" s="373">
        <f>E117/12</f>
        <v>28211.666666666668</v>
      </c>
      <c r="F118" s="358">
        <f>ROUND(F117/12,2)</f>
        <v>35239.919999999998</v>
      </c>
      <c r="G118" s="369">
        <f>G117/12</f>
        <v>28311.583333333332</v>
      </c>
      <c r="H118" s="376">
        <f>ROUND(H117/12,2)</f>
        <v>35364.75</v>
      </c>
      <c r="I118" s="373">
        <f>I117/12</f>
        <v>28455.916666666668</v>
      </c>
      <c r="J118" s="358">
        <f>ROUND(J117/12,2)</f>
        <v>35545</v>
      </c>
      <c r="K118" s="369">
        <f>K117/12</f>
        <v>28556</v>
      </c>
      <c r="L118" s="376">
        <f>ROUND(L117/12,2)</f>
        <v>35670.080000000002</v>
      </c>
      <c r="M118" s="381"/>
      <c r="N118" s="359"/>
      <c r="O118" s="361">
        <f>ROUND(O117/12,2)</f>
        <v>34676.660000000003</v>
      </c>
    </row>
    <row r="119" spans="1:15" ht="15" thickBot="1">
      <c r="A119" s="2111"/>
      <c r="B119" s="367" t="s">
        <v>201</v>
      </c>
      <c r="C119" s="182">
        <f>C117/12</f>
        <v>28067.333333333332</v>
      </c>
      <c r="D119" s="183">
        <f>ROUND(D118/160.33,2)</f>
        <v>218.67</v>
      </c>
      <c r="E119" s="374"/>
      <c r="F119" s="183">
        <f t="shared" ref="F119:O119" si="38">ROUND(F118/160.33,2)</f>
        <v>219.8</v>
      </c>
      <c r="G119" s="183">
        <f t="shared" si="38"/>
        <v>176.58</v>
      </c>
      <c r="H119" s="183">
        <f t="shared" si="38"/>
        <v>220.57</v>
      </c>
      <c r="I119" s="183">
        <f t="shared" si="38"/>
        <v>177.48</v>
      </c>
      <c r="J119" s="183">
        <f t="shared" si="38"/>
        <v>221.7</v>
      </c>
      <c r="K119" s="183">
        <f t="shared" si="38"/>
        <v>178.11</v>
      </c>
      <c r="L119" s="183">
        <f t="shared" si="38"/>
        <v>222.48</v>
      </c>
      <c r="M119" s="183">
        <f t="shared" si="38"/>
        <v>0</v>
      </c>
      <c r="N119" s="183">
        <f t="shared" si="38"/>
        <v>0</v>
      </c>
      <c r="O119" s="183">
        <f t="shared" si="38"/>
        <v>216.28</v>
      </c>
    </row>
    <row r="120" spans="1:15">
      <c r="A120" s="2109">
        <v>39</v>
      </c>
      <c r="B120" s="188" t="s">
        <v>93</v>
      </c>
      <c r="C120" s="177">
        <v>342821</v>
      </c>
      <c r="D120" s="181">
        <f>ROUND((C120*(1+'Løntabel gældende fra'!$D$7%)),0)</f>
        <v>428227</v>
      </c>
      <c r="E120" s="179">
        <v>344156</v>
      </c>
      <c r="F120" s="180">
        <f>ROUND((E120*(1+'Løntabel gældende fra'!$D$7%)),0)</f>
        <v>429894</v>
      </c>
      <c r="G120" s="177">
        <v>345080</v>
      </c>
      <c r="H120" s="181">
        <f>ROUND((G120*(1+'Løntabel gældende fra'!$D$7%)),0)</f>
        <v>431048</v>
      </c>
      <c r="I120" s="179">
        <v>346413</v>
      </c>
      <c r="J120" s="180">
        <f>ROUND((I120*(1+'Løntabel gældende fra'!$D$7%)),0)</f>
        <v>432713</v>
      </c>
      <c r="K120" s="177">
        <v>347337</v>
      </c>
      <c r="L120" s="181">
        <f>ROUND((K120*(1+'Løntabel gældende fra'!$D$7%)),0)</f>
        <v>433868</v>
      </c>
      <c r="M120" s="383"/>
      <c r="N120" s="362">
        <v>339989.41</v>
      </c>
      <c r="O120" s="363">
        <f>ROUND(N120*(1+'Løntabel gældende fra'!$D$7%),2)</f>
        <v>424689.61</v>
      </c>
    </row>
    <row r="121" spans="1:15">
      <c r="A121" s="2110"/>
      <c r="B121" s="366" t="s">
        <v>206</v>
      </c>
      <c r="C121" s="369"/>
      <c r="D121" s="376">
        <f>ROUND(D120/12,2)</f>
        <v>35685.58</v>
      </c>
      <c r="E121" s="373">
        <f>E120/12</f>
        <v>28679.666666666668</v>
      </c>
      <c r="F121" s="358">
        <f>ROUND(F120/12,2)</f>
        <v>35824.5</v>
      </c>
      <c r="G121" s="369">
        <f>G120/12</f>
        <v>28756.666666666668</v>
      </c>
      <c r="H121" s="376">
        <f>ROUND(H120/12,2)</f>
        <v>35920.67</v>
      </c>
      <c r="I121" s="373">
        <f>I120/12</f>
        <v>28867.75</v>
      </c>
      <c r="J121" s="358">
        <f>ROUND(J120/12,2)</f>
        <v>36059.42</v>
      </c>
      <c r="K121" s="369">
        <f>K120/12</f>
        <v>28944.75</v>
      </c>
      <c r="L121" s="376">
        <f>ROUND(L120/12,2)</f>
        <v>36155.67</v>
      </c>
      <c r="M121" s="381"/>
      <c r="N121" s="359"/>
      <c r="O121" s="361">
        <f>ROUND(O120/12,2)</f>
        <v>35390.800000000003</v>
      </c>
    </row>
    <row r="122" spans="1:15" ht="15" thickBot="1">
      <c r="A122" s="2113"/>
      <c r="B122" s="368" t="s">
        <v>201</v>
      </c>
      <c r="C122" s="372">
        <f>C120/12</f>
        <v>28568.416666666668</v>
      </c>
      <c r="D122" s="183">
        <f>ROUND(D121/160.33,2)</f>
        <v>222.58</v>
      </c>
      <c r="E122" s="375"/>
      <c r="F122" s="183">
        <f t="shared" ref="F122:O122" si="39">ROUND(F121/160.33,2)</f>
        <v>223.44</v>
      </c>
      <c r="G122" s="183">
        <f t="shared" si="39"/>
        <v>179.36</v>
      </c>
      <c r="H122" s="183">
        <f t="shared" si="39"/>
        <v>224.04</v>
      </c>
      <c r="I122" s="183">
        <f t="shared" si="39"/>
        <v>180.05</v>
      </c>
      <c r="J122" s="183">
        <f t="shared" si="39"/>
        <v>224.91</v>
      </c>
      <c r="K122" s="183">
        <f t="shared" si="39"/>
        <v>180.53</v>
      </c>
      <c r="L122" s="183">
        <f t="shared" si="39"/>
        <v>225.51</v>
      </c>
      <c r="M122" s="183">
        <f t="shared" si="39"/>
        <v>0</v>
      </c>
      <c r="N122" s="183">
        <f t="shared" si="39"/>
        <v>0</v>
      </c>
      <c r="O122" s="183">
        <f t="shared" si="39"/>
        <v>220.74</v>
      </c>
    </row>
    <row r="123" spans="1:15">
      <c r="A123" s="2112">
        <v>40</v>
      </c>
      <c r="B123" s="189" t="s">
        <v>93</v>
      </c>
      <c r="C123" s="185">
        <v>348966</v>
      </c>
      <c r="D123" s="178">
        <f>ROUND((C123*(1+'Løntabel gældende fra'!$D$7%)),0)</f>
        <v>435903</v>
      </c>
      <c r="E123" s="186">
        <v>349878</v>
      </c>
      <c r="F123" s="187">
        <f>ROUND((E123*(1+'Løntabel gældende fra'!$D$7%)),0)</f>
        <v>437042</v>
      </c>
      <c r="G123" s="185">
        <v>350510</v>
      </c>
      <c r="H123" s="178">
        <f>ROUND((G123*(1+'Løntabel gældende fra'!$D$7%)),0)</f>
        <v>437831</v>
      </c>
      <c r="I123" s="186">
        <v>351422</v>
      </c>
      <c r="J123" s="187">
        <f>ROUND((I123*(1+'Løntabel gældende fra'!$D$7%)),0)</f>
        <v>438970</v>
      </c>
      <c r="K123" s="185">
        <v>352054</v>
      </c>
      <c r="L123" s="178">
        <f>ROUND((K123*(1+'Løntabel gældende fra'!$D$7%)),0)</f>
        <v>439760</v>
      </c>
      <c r="M123" s="382"/>
      <c r="N123" s="360">
        <v>347027.46</v>
      </c>
      <c r="O123" s="192">
        <f>ROUND(N123*(1+'Løntabel gældende fra'!$D$7%),2)</f>
        <v>433481.02</v>
      </c>
    </row>
    <row r="124" spans="1:15">
      <c r="A124" s="2110"/>
      <c r="B124" s="366" t="s">
        <v>206</v>
      </c>
      <c r="C124" s="369"/>
      <c r="D124" s="376">
        <f>ROUND(D123/12,2)</f>
        <v>36325.25</v>
      </c>
      <c r="E124" s="373">
        <f>E123/12</f>
        <v>29156.5</v>
      </c>
      <c r="F124" s="358">
        <f>ROUND(F123/12,2)</f>
        <v>36420.17</v>
      </c>
      <c r="G124" s="369">
        <f>G123/12</f>
        <v>29209.166666666668</v>
      </c>
      <c r="H124" s="376">
        <f>ROUND(H123/12,2)</f>
        <v>36485.919999999998</v>
      </c>
      <c r="I124" s="373">
        <f>I123/12</f>
        <v>29285.166666666668</v>
      </c>
      <c r="J124" s="358">
        <f>ROUND(J123/12,2)</f>
        <v>36580.83</v>
      </c>
      <c r="K124" s="369">
        <f>K123/12</f>
        <v>29337.833333333332</v>
      </c>
      <c r="L124" s="376">
        <f>ROUND(L123/12,2)</f>
        <v>36646.67</v>
      </c>
      <c r="M124" s="381"/>
      <c r="N124" s="359"/>
      <c r="O124" s="361">
        <f>ROUND(O123/12,2)</f>
        <v>36123.42</v>
      </c>
    </row>
    <row r="125" spans="1:15" ht="15" thickBot="1">
      <c r="A125" s="2111"/>
      <c r="B125" s="367" t="s">
        <v>201</v>
      </c>
      <c r="C125" s="182">
        <f>C123/12</f>
        <v>29080.5</v>
      </c>
      <c r="D125" s="183">
        <f>ROUND(D124/160.33,2)</f>
        <v>226.57</v>
      </c>
      <c r="E125" s="374"/>
      <c r="F125" s="183">
        <f t="shared" ref="F125:O125" si="40">ROUND(F124/160.33,2)</f>
        <v>227.16</v>
      </c>
      <c r="G125" s="183">
        <f t="shared" si="40"/>
        <v>182.18</v>
      </c>
      <c r="H125" s="183">
        <f t="shared" si="40"/>
        <v>227.57</v>
      </c>
      <c r="I125" s="183">
        <f t="shared" si="40"/>
        <v>182.66</v>
      </c>
      <c r="J125" s="183">
        <f t="shared" si="40"/>
        <v>228.16</v>
      </c>
      <c r="K125" s="183">
        <f t="shared" si="40"/>
        <v>182.98</v>
      </c>
      <c r="L125" s="183">
        <f t="shared" si="40"/>
        <v>228.57</v>
      </c>
      <c r="M125" s="183">
        <f t="shared" si="40"/>
        <v>0</v>
      </c>
      <c r="N125" s="183">
        <f t="shared" si="40"/>
        <v>0</v>
      </c>
      <c r="O125" s="183">
        <f t="shared" si="40"/>
        <v>225.31</v>
      </c>
    </row>
    <row r="126" spans="1:15">
      <c r="A126" s="2109">
        <v>41</v>
      </c>
      <c r="B126" s="188" t="s">
        <v>93</v>
      </c>
      <c r="C126" s="177">
        <v>355245</v>
      </c>
      <c r="D126" s="181">
        <f>ROUND((C126*(1+'Løntabel gældende fra'!$D$7%)),0)</f>
        <v>443746</v>
      </c>
      <c r="E126" s="179">
        <v>355712</v>
      </c>
      <c r="F126" s="180">
        <f>ROUND((E126*(1+'Løntabel gældende fra'!$D$7%)),0)</f>
        <v>444329</v>
      </c>
      <c r="G126" s="177">
        <v>356037</v>
      </c>
      <c r="H126" s="181">
        <f>ROUND((G126*(1+'Løntabel gældende fra'!$D$7%)),0)</f>
        <v>444735</v>
      </c>
      <c r="I126" s="179">
        <v>356505</v>
      </c>
      <c r="J126" s="180">
        <f>ROUND((I126*(1+'Løntabel gældende fra'!$D$7%)),0)</f>
        <v>445320</v>
      </c>
      <c r="K126" s="177">
        <v>356828</v>
      </c>
      <c r="L126" s="181">
        <f>ROUND((K126*(1+'Løntabel gældende fra'!$D$7%)),0)</f>
        <v>445723</v>
      </c>
      <c r="M126" s="383"/>
      <c r="N126" s="362">
        <v>354249.23</v>
      </c>
      <c r="O126" s="363">
        <f>ROUND(N126*(1+'Løntabel gældende fra'!$D$7%),2)</f>
        <v>442501.92</v>
      </c>
    </row>
    <row r="127" spans="1:15">
      <c r="A127" s="2110"/>
      <c r="B127" s="366" t="s">
        <v>206</v>
      </c>
      <c r="C127" s="369"/>
      <c r="D127" s="376">
        <f>ROUND(D126/12,2)</f>
        <v>36978.83</v>
      </c>
      <c r="E127" s="373">
        <f>E126/12</f>
        <v>29642.666666666668</v>
      </c>
      <c r="F127" s="358">
        <f>ROUND(F126/12,2)</f>
        <v>37027.42</v>
      </c>
      <c r="G127" s="369">
        <f>G126/12</f>
        <v>29669.75</v>
      </c>
      <c r="H127" s="376">
        <f>ROUND(H126/12,2)</f>
        <v>37061.25</v>
      </c>
      <c r="I127" s="373">
        <f>I126/12</f>
        <v>29708.75</v>
      </c>
      <c r="J127" s="358">
        <f>ROUND(J126/12,2)</f>
        <v>37110</v>
      </c>
      <c r="K127" s="369">
        <f>K126/12</f>
        <v>29735.666666666668</v>
      </c>
      <c r="L127" s="376">
        <f>ROUND(L126/12,2)</f>
        <v>37143.58</v>
      </c>
      <c r="M127" s="381"/>
      <c r="N127" s="359"/>
      <c r="O127" s="361">
        <f>ROUND(O126/12,2)</f>
        <v>36875.160000000003</v>
      </c>
    </row>
    <row r="128" spans="1:15" ht="15" thickBot="1">
      <c r="A128" s="2113"/>
      <c r="B128" s="368" t="s">
        <v>201</v>
      </c>
      <c r="C128" s="372">
        <f>C126/12</f>
        <v>29603.75</v>
      </c>
      <c r="D128" s="183">
        <f>ROUND(D127/160.33,2)</f>
        <v>230.64</v>
      </c>
      <c r="E128" s="375"/>
      <c r="F128" s="183">
        <f t="shared" ref="F128:O128" si="41">ROUND(F127/160.33,2)</f>
        <v>230.95</v>
      </c>
      <c r="G128" s="183">
        <f t="shared" si="41"/>
        <v>185.05</v>
      </c>
      <c r="H128" s="183">
        <f t="shared" si="41"/>
        <v>231.16</v>
      </c>
      <c r="I128" s="183">
        <f t="shared" si="41"/>
        <v>185.3</v>
      </c>
      <c r="J128" s="183">
        <f t="shared" si="41"/>
        <v>231.46</v>
      </c>
      <c r="K128" s="183">
        <f t="shared" si="41"/>
        <v>185.47</v>
      </c>
      <c r="L128" s="183">
        <f t="shared" si="41"/>
        <v>231.67</v>
      </c>
      <c r="M128" s="183">
        <f t="shared" si="41"/>
        <v>0</v>
      </c>
      <c r="N128" s="183">
        <f t="shared" si="41"/>
        <v>0</v>
      </c>
      <c r="O128" s="183">
        <f t="shared" si="41"/>
        <v>230</v>
      </c>
    </row>
    <row r="129" spans="1:15">
      <c r="A129" s="2112">
        <v>42</v>
      </c>
      <c r="B129" s="189" t="s">
        <v>93</v>
      </c>
      <c r="C129" s="185">
        <v>361660</v>
      </c>
      <c r="D129" s="178">
        <f>ROUND((C129*(1+'Løntabel gældende fra'!$D$7%)),0)</f>
        <v>451759</v>
      </c>
      <c r="E129" s="186">
        <v>361660</v>
      </c>
      <c r="F129" s="187">
        <f>ROUND((E129*(1+'Løntabel gældende fra'!$D$7%)),0)</f>
        <v>451759</v>
      </c>
      <c r="G129" s="185">
        <v>361660</v>
      </c>
      <c r="H129" s="178">
        <f>ROUND((G129*(1+'Løntabel gældende fra'!$D$7%)),0)</f>
        <v>451759</v>
      </c>
      <c r="I129" s="186">
        <v>361660</v>
      </c>
      <c r="J129" s="187">
        <f>ROUND((I129*(1+'Løntabel gældende fra'!$D$7%)),0)</f>
        <v>451759</v>
      </c>
      <c r="K129" s="185">
        <v>361660</v>
      </c>
      <c r="L129" s="178">
        <f>ROUND((K129*(1+'Løntabel gældende fra'!$D$7%)),0)</f>
        <v>451759</v>
      </c>
      <c r="M129" s="382"/>
      <c r="N129" s="360">
        <v>361659.2</v>
      </c>
      <c r="O129" s="192">
        <f>ROUND(N129*(1+'Løntabel gældende fra'!$D$7%),2)</f>
        <v>451757.91</v>
      </c>
    </row>
    <row r="130" spans="1:15">
      <c r="A130" s="2110"/>
      <c r="B130" s="366" t="s">
        <v>206</v>
      </c>
      <c r="C130" s="369"/>
      <c r="D130" s="376">
        <f>ROUND(D129/12,2)</f>
        <v>37646.58</v>
      </c>
      <c r="E130" s="373">
        <f>E129/12</f>
        <v>30138.333333333332</v>
      </c>
      <c r="F130" s="358">
        <f>ROUND(F129/12,2)</f>
        <v>37646.58</v>
      </c>
      <c r="G130" s="369">
        <f>G129/12</f>
        <v>30138.333333333332</v>
      </c>
      <c r="H130" s="376">
        <f>ROUND(H129/12,2)</f>
        <v>37646.58</v>
      </c>
      <c r="I130" s="373">
        <f>I129/12</f>
        <v>30138.333333333332</v>
      </c>
      <c r="J130" s="358">
        <f>ROUND(J129/12,2)</f>
        <v>37646.58</v>
      </c>
      <c r="K130" s="369">
        <f>K129/12</f>
        <v>30138.333333333332</v>
      </c>
      <c r="L130" s="376">
        <f>ROUND(L129/12,2)</f>
        <v>37646.58</v>
      </c>
      <c r="M130" s="381"/>
      <c r="N130" s="359"/>
      <c r="O130" s="361">
        <f>ROUND(O129/12,2)</f>
        <v>37646.49</v>
      </c>
    </row>
    <row r="131" spans="1:15" ht="15" thickBot="1">
      <c r="A131" s="2111"/>
      <c r="B131" s="367" t="s">
        <v>201</v>
      </c>
      <c r="C131" s="182">
        <f>C129/12</f>
        <v>30138.333333333332</v>
      </c>
      <c r="D131" s="183">
        <f>ROUND(D130/160.33,2)</f>
        <v>234.81</v>
      </c>
      <c r="E131" s="374"/>
      <c r="F131" s="183">
        <f t="shared" ref="F131:O131" si="42">ROUND(F130/160.33,2)</f>
        <v>234.81</v>
      </c>
      <c r="G131" s="183">
        <f t="shared" si="42"/>
        <v>187.98</v>
      </c>
      <c r="H131" s="183">
        <f t="shared" si="42"/>
        <v>234.81</v>
      </c>
      <c r="I131" s="183">
        <f t="shared" si="42"/>
        <v>187.98</v>
      </c>
      <c r="J131" s="183">
        <f t="shared" si="42"/>
        <v>234.81</v>
      </c>
      <c r="K131" s="183">
        <f t="shared" si="42"/>
        <v>187.98</v>
      </c>
      <c r="L131" s="183">
        <f t="shared" si="42"/>
        <v>234.81</v>
      </c>
      <c r="M131" s="183">
        <f t="shared" si="42"/>
        <v>0</v>
      </c>
      <c r="N131" s="183">
        <f t="shared" si="42"/>
        <v>0</v>
      </c>
      <c r="O131" s="183">
        <f t="shared" si="42"/>
        <v>234.81</v>
      </c>
    </row>
    <row r="132" spans="1:15">
      <c r="A132" s="2109">
        <v>43</v>
      </c>
      <c r="B132" s="188" t="s">
        <v>93</v>
      </c>
      <c r="C132" s="177">
        <v>369689</v>
      </c>
      <c r="D132" s="181">
        <f>ROUND((C132*(1+'Løntabel gældende fra'!$D$7%)),0)</f>
        <v>461788</v>
      </c>
      <c r="E132" s="179">
        <v>369689</v>
      </c>
      <c r="F132" s="180">
        <f>ROUND((E132*(1+'Løntabel gældende fra'!$D$7%)),0)</f>
        <v>461788</v>
      </c>
      <c r="G132" s="177">
        <v>369689</v>
      </c>
      <c r="H132" s="181">
        <f>ROUND((G132*(1+'Løntabel gældende fra'!$D$7%)),0)</f>
        <v>461788</v>
      </c>
      <c r="I132" s="179">
        <v>369689</v>
      </c>
      <c r="J132" s="180">
        <f>ROUND((I132*(1+'Løntabel gældende fra'!$D$7%)),0)</f>
        <v>461788</v>
      </c>
      <c r="K132" s="177">
        <v>369689</v>
      </c>
      <c r="L132" s="181">
        <f>ROUND((K132*(1+'Løntabel gældende fra'!$D$7%)),0)</f>
        <v>461788</v>
      </c>
      <c r="M132" s="383"/>
      <c r="N132" s="362">
        <v>369688.53</v>
      </c>
      <c r="O132" s="363">
        <f>ROUND(N132*(1+'Løntabel gældende fra'!$D$7%),2)</f>
        <v>461787.55</v>
      </c>
    </row>
    <row r="133" spans="1:15">
      <c r="A133" s="2110"/>
      <c r="B133" s="366" t="s">
        <v>206</v>
      </c>
      <c r="C133" s="369"/>
      <c r="D133" s="376">
        <f>ROUND(D132/12,2)</f>
        <v>38482.33</v>
      </c>
      <c r="E133" s="373">
        <f>E132/12</f>
        <v>30807.416666666668</v>
      </c>
      <c r="F133" s="358">
        <f>ROUND(F132/12,2)</f>
        <v>38482.33</v>
      </c>
      <c r="G133" s="369">
        <f>G132/12</f>
        <v>30807.416666666668</v>
      </c>
      <c r="H133" s="376">
        <f>ROUND(H132/12,2)</f>
        <v>38482.33</v>
      </c>
      <c r="I133" s="373">
        <f>I132/12</f>
        <v>30807.416666666668</v>
      </c>
      <c r="J133" s="358">
        <f>ROUND(J132/12,2)</f>
        <v>38482.33</v>
      </c>
      <c r="K133" s="369">
        <f>K132/12</f>
        <v>30807.416666666668</v>
      </c>
      <c r="L133" s="376">
        <f>ROUND(L132/12,2)</f>
        <v>38482.33</v>
      </c>
      <c r="M133" s="381"/>
      <c r="N133" s="359"/>
      <c r="O133" s="361">
        <f>ROUND(O132/12,2)</f>
        <v>38482.300000000003</v>
      </c>
    </row>
    <row r="134" spans="1:15" ht="15" thickBot="1">
      <c r="A134" s="2113"/>
      <c r="B134" s="368" t="s">
        <v>201</v>
      </c>
      <c r="C134" s="372">
        <f>C132/12</f>
        <v>30807.416666666668</v>
      </c>
      <c r="D134" s="183">
        <f>ROUND(D133/160.33,2)</f>
        <v>240.02</v>
      </c>
      <c r="E134" s="375"/>
      <c r="F134" s="183">
        <f t="shared" ref="F134:O134" si="43">ROUND(F133/160.33,2)</f>
        <v>240.02</v>
      </c>
      <c r="G134" s="183">
        <f t="shared" si="43"/>
        <v>192.15</v>
      </c>
      <c r="H134" s="183">
        <f t="shared" si="43"/>
        <v>240.02</v>
      </c>
      <c r="I134" s="183">
        <f t="shared" si="43"/>
        <v>192.15</v>
      </c>
      <c r="J134" s="183">
        <f t="shared" si="43"/>
        <v>240.02</v>
      </c>
      <c r="K134" s="183">
        <f t="shared" si="43"/>
        <v>192.15</v>
      </c>
      <c r="L134" s="183">
        <f t="shared" si="43"/>
        <v>240.02</v>
      </c>
      <c r="M134" s="183">
        <f t="shared" si="43"/>
        <v>0</v>
      </c>
      <c r="N134" s="183">
        <f t="shared" si="43"/>
        <v>0</v>
      </c>
      <c r="O134" s="183">
        <f t="shared" si="43"/>
        <v>240.02</v>
      </c>
    </row>
    <row r="135" spans="1:15">
      <c r="A135" s="2112">
        <v>44</v>
      </c>
      <c r="B135" s="189" t="s">
        <v>93</v>
      </c>
      <c r="C135" s="185">
        <v>377937</v>
      </c>
      <c r="D135" s="178">
        <f>ROUND((C135*(1+'Løntabel gældende fra'!$D$7%)),0)</f>
        <v>472091</v>
      </c>
      <c r="E135" s="186">
        <v>377937</v>
      </c>
      <c r="F135" s="187">
        <f>ROUND((E135*(1+'Løntabel gældende fra'!$D$7%)),0)</f>
        <v>472091</v>
      </c>
      <c r="G135" s="185">
        <v>377937</v>
      </c>
      <c r="H135" s="178">
        <f>ROUND((G135*(1+'Løntabel gældende fra'!$D$7%)),0)</f>
        <v>472091</v>
      </c>
      <c r="I135" s="186">
        <v>377937</v>
      </c>
      <c r="J135" s="187">
        <f>ROUND((I135*(1+'Løntabel gældende fra'!$D$7%)),0)</f>
        <v>472091</v>
      </c>
      <c r="K135" s="185">
        <v>377937</v>
      </c>
      <c r="L135" s="178">
        <f>ROUND((K135*(1+'Løntabel gældende fra'!$D$7%)),0)</f>
        <v>472091</v>
      </c>
      <c r="M135" s="382"/>
      <c r="N135" s="360">
        <v>377937.3</v>
      </c>
      <c r="O135" s="192">
        <f>ROUND(N135*(1+'Løntabel gældende fra'!$D$7%),2)</f>
        <v>472091.31</v>
      </c>
    </row>
    <row r="136" spans="1:15">
      <c r="A136" s="2110"/>
      <c r="B136" s="366" t="s">
        <v>206</v>
      </c>
      <c r="C136" s="369"/>
      <c r="D136" s="376">
        <f>ROUND(D135/12,2)</f>
        <v>39340.92</v>
      </c>
      <c r="E136" s="373">
        <f>E135/12</f>
        <v>31494.75</v>
      </c>
      <c r="F136" s="358">
        <f>ROUND(F135/12,2)</f>
        <v>39340.92</v>
      </c>
      <c r="G136" s="369">
        <f>G135/12</f>
        <v>31494.75</v>
      </c>
      <c r="H136" s="376">
        <f>ROUND(H135/12,2)</f>
        <v>39340.92</v>
      </c>
      <c r="I136" s="373">
        <f>I135/12</f>
        <v>31494.75</v>
      </c>
      <c r="J136" s="358">
        <f>ROUND(J135/12,2)</f>
        <v>39340.92</v>
      </c>
      <c r="K136" s="369">
        <f>K135/12</f>
        <v>31494.75</v>
      </c>
      <c r="L136" s="376">
        <f>ROUND(L135/12,2)</f>
        <v>39340.92</v>
      </c>
      <c r="M136" s="381"/>
      <c r="N136" s="359"/>
      <c r="O136" s="361">
        <f>ROUND(O135/12,2)</f>
        <v>39340.94</v>
      </c>
    </row>
    <row r="137" spans="1:15" ht="15" thickBot="1">
      <c r="A137" s="2111"/>
      <c r="B137" s="367" t="s">
        <v>201</v>
      </c>
      <c r="C137" s="182">
        <f>C135/12</f>
        <v>31494.75</v>
      </c>
      <c r="D137" s="183">
        <f>ROUND(D136/160.33,2)</f>
        <v>245.37</v>
      </c>
      <c r="E137" s="374"/>
      <c r="F137" s="183">
        <f t="shared" ref="F137:O137" si="44">ROUND(F136/160.33,2)</f>
        <v>245.37</v>
      </c>
      <c r="G137" s="183">
        <f t="shared" si="44"/>
        <v>196.44</v>
      </c>
      <c r="H137" s="183">
        <f t="shared" si="44"/>
        <v>245.37</v>
      </c>
      <c r="I137" s="183">
        <f t="shared" si="44"/>
        <v>196.44</v>
      </c>
      <c r="J137" s="183">
        <f t="shared" si="44"/>
        <v>245.37</v>
      </c>
      <c r="K137" s="183">
        <f t="shared" si="44"/>
        <v>196.44</v>
      </c>
      <c r="L137" s="183">
        <f t="shared" si="44"/>
        <v>245.37</v>
      </c>
      <c r="M137" s="183">
        <f t="shared" si="44"/>
        <v>0</v>
      </c>
      <c r="N137" s="183">
        <f t="shared" si="44"/>
        <v>0</v>
      </c>
      <c r="O137" s="183">
        <f t="shared" si="44"/>
        <v>245.37</v>
      </c>
    </row>
    <row r="138" spans="1:15">
      <c r="A138" s="2112">
        <v>45</v>
      </c>
      <c r="B138" s="189" t="s">
        <v>93</v>
      </c>
      <c r="C138" s="185">
        <v>386414</v>
      </c>
      <c r="D138" s="178">
        <f>ROUND((C138*(1+'Løntabel gældende fra'!$D$7%)),0)</f>
        <v>482680</v>
      </c>
      <c r="E138" s="186">
        <v>386414</v>
      </c>
      <c r="F138" s="187">
        <f>ROUND((E138*(1+'Løntabel gældende fra'!$D$7%)),0)</f>
        <v>482680</v>
      </c>
      <c r="G138" s="185">
        <v>386414</v>
      </c>
      <c r="H138" s="178">
        <f>ROUND((G138*(1+'Løntabel gældende fra'!$D$7%)),0)</f>
        <v>482680</v>
      </c>
      <c r="I138" s="186">
        <v>386414</v>
      </c>
      <c r="J138" s="187">
        <f>ROUND((I138*(1+'Løntabel gældende fra'!$D$7%)),0)</f>
        <v>482680</v>
      </c>
      <c r="K138" s="185">
        <v>386414</v>
      </c>
      <c r="L138" s="178">
        <f>ROUND((K138*(1+'Løntabel gældende fra'!$D$7%)),0)</f>
        <v>482680</v>
      </c>
      <c r="M138" s="382"/>
      <c r="N138" s="360">
        <v>386414.29</v>
      </c>
      <c r="O138" s="192">
        <f>ROUND(N138*(1+'Løntabel gældende fra'!$D$7%),2)</f>
        <v>482680.14</v>
      </c>
    </row>
    <row r="139" spans="1:15">
      <c r="A139" s="2110"/>
      <c r="B139" s="366" t="s">
        <v>206</v>
      </c>
      <c r="C139" s="369"/>
      <c r="D139" s="376">
        <f>ROUND(D138/12,2)</f>
        <v>40223.33</v>
      </c>
      <c r="E139" s="373">
        <f>E138/12</f>
        <v>32201.166666666668</v>
      </c>
      <c r="F139" s="358">
        <f>ROUND(F138/12,2)</f>
        <v>40223.33</v>
      </c>
      <c r="G139" s="369">
        <f>G138/12</f>
        <v>32201.166666666668</v>
      </c>
      <c r="H139" s="376">
        <f>ROUND(H138/12,2)</f>
        <v>40223.33</v>
      </c>
      <c r="I139" s="373">
        <f>I138/12</f>
        <v>32201.166666666668</v>
      </c>
      <c r="J139" s="358">
        <f>ROUND(J138/12,2)</f>
        <v>40223.33</v>
      </c>
      <c r="K139" s="369">
        <f>K138/12</f>
        <v>32201.166666666668</v>
      </c>
      <c r="L139" s="376">
        <f>ROUND(L138/12,2)</f>
        <v>40223.33</v>
      </c>
      <c r="M139" s="381"/>
      <c r="N139" s="359"/>
      <c r="O139" s="361">
        <f>ROUND(O138/12,2)</f>
        <v>40223.35</v>
      </c>
    </row>
    <row r="140" spans="1:15" ht="15" thickBot="1">
      <c r="A140" s="2111"/>
      <c r="B140" s="367" t="s">
        <v>201</v>
      </c>
      <c r="C140" s="182">
        <f>C138/12</f>
        <v>32201.166666666668</v>
      </c>
      <c r="D140" s="183">
        <f>ROUND(D139/160.33,2)</f>
        <v>250.88</v>
      </c>
      <c r="E140" s="374"/>
      <c r="F140" s="183">
        <f t="shared" ref="F140:O140" si="45">ROUND(F139/160.33,2)</f>
        <v>250.88</v>
      </c>
      <c r="G140" s="183">
        <f t="shared" si="45"/>
        <v>200.84</v>
      </c>
      <c r="H140" s="183">
        <f t="shared" si="45"/>
        <v>250.88</v>
      </c>
      <c r="I140" s="183">
        <f t="shared" si="45"/>
        <v>200.84</v>
      </c>
      <c r="J140" s="183">
        <f t="shared" si="45"/>
        <v>250.88</v>
      </c>
      <c r="K140" s="183">
        <f t="shared" si="45"/>
        <v>200.84</v>
      </c>
      <c r="L140" s="183">
        <f t="shared" si="45"/>
        <v>250.88</v>
      </c>
      <c r="M140" s="183">
        <f t="shared" si="45"/>
        <v>0</v>
      </c>
      <c r="N140" s="183">
        <f t="shared" si="45"/>
        <v>0</v>
      </c>
      <c r="O140" s="183">
        <f t="shared" si="45"/>
        <v>250.88</v>
      </c>
    </row>
    <row r="141" spans="1:15">
      <c r="A141" s="2112">
        <v>46</v>
      </c>
      <c r="B141" s="189" t="s">
        <v>93</v>
      </c>
      <c r="C141" s="185">
        <v>395125</v>
      </c>
      <c r="D141" s="178">
        <f>ROUND((C141*(1+'Løntabel gældende fra'!$D$7%)),0)</f>
        <v>493561</v>
      </c>
      <c r="E141" s="186">
        <v>395125</v>
      </c>
      <c r="F141" s="187">
        <f>ROUND((E141*(1+'Løntabel gældende fra'!$D$7%)),0)</f>
        <v>493561</v>
      </c>
      <c r="G141" s="185">
        <v>395125</v>
      </c>
      <c r="H141" s="178">
        <f>ROUND((G141*(1+'Løntabel gældende fra'!$D$7%)),0)</f>
        <v>493561</v>
      </c>
      <c r="I141" s="186">
        <v>395125</v>
      </c>
      <c r="J141" s="187">
        <f>ROUND((I141*(1+'Løntabel gældende fra'!$D$7%)),0)</f>
        <v>493561</v>
      </c>
      <c r="K141" s="185">
        <v>395125</v>
      </c>
      <c r="L141" s="178">
        <f>ROUND((K141*(1+'Løntabel gældende fra'!$D$7%)),0)</f>
        <v>493561</v>
      </c>
      <c r="M141" s="382"/>
      <c r="N141" s="360">
        <v>395124.74</v>
      </c>
      <c r="O141" s="192">
        <f>ROUND(N141*(1+'Løntabel gældende fra'!$D$7%),2)</f>
        <v>493560.59</v>
      </c>
    </row>
    <row r="142" spans="1:15">
      <c r="A142" s="2110"/>
      <c r="B142" s="366" t="s">
        <v>94</v>
      </c>
      <c r="C142" s="369"/>
      <c r="D142" s="376">
        <f>ROUND(D141/12,2)</f>
        <v>41130.080000000002</v>
      </c>
      <c r="E142" s="373">
        <f>E141/12</f>
        <v>32927.083333333336</v>
      </c>
      <c r="F142" s="358">
        <f>ROUND(F141/12,2)</f>
        <v>41130.080000000002</v>
      </c>
      <c r="G142" s="369">
        <f>G141/12</f>
        <v>32927.083333333336</v>
      </c>
      <c r="H142" s="376">
        <f>ROUND(H141/12,2)</f>
        <v>41130.080000000002</v>
      </c>
      <c r="I142" s="373">
        <f>I141/12</f>
        <v>32927.083333333336</v>
      </c>
      <c r="J142" s="358">
        <f>ROUND(J141/12,2)</f>
        <v>41130.080000000002</v>
      </c>
      <c r="K142" s="369">
        <f>K141/12</f>
        <v>32927.083333333336</v>
      </c>
      <c r="L142" s="376">
        <f>ROUND(L141/12,2)</f>
        <v>41130.080000000002</v>
      </c>
      <c r="M142" s="381"/>
      <c r="N142" s="359"/>
      <c r="O142" s="361">
        <f>ROUND(O141/12,2)</f>
        <v>41130.050000000003</v>
      </c>
    </row>
    <row r="143" spans="1:15" ht="15" thickBot="1">
      <c r="A143" s="2111"/>
      <c r="B143" s="367" t="s">
        <v>201</v>
      </c>
      <c r="C143" s="182">
        <f>C141/12</f>
        <v>32927.083333333336</v>
      </c>
      <c r="D143" s="183">
        <f>ROUND(D142/160.33,2)</f>
        <v>256.52999999999997</v>
      </c>
      <c r="E143" s="374"/>
      <c r="F143" s="183">
        <f t="shared" ref="F143:O143" si="46">ROUND(F142/160.33,2)</f>
        <v>256.52999999999997</v>
      </c>
      <c r="G143" s="183">
        <f t="shared" si="46"/>
        <v>205.37</v>
      </c>
      <c r="H143" s="183">
        <f t="shared" si="46"/>
        <v>256.52999999999997</v>
      </c>
      <c r="I143" s="183">
        <f t="shared" si="46"/>
        <v>205.37</v>
      </c>
      <c r="J143" s="183">
        <f t="shared" si="46"/>
        <v>256.52999999999997</v>
      </c>
      <c r="K143" s="183">
        <f t="shared" si="46"/>
        <v>205.37</v>
      </c>
      <c r="L143" s="183">
        <f t="shared" si="46"/>
        <v>256.52999999999997</v>
      </c>
      <c r="M143" s="183">
        <f t="shared" si="46"/>
        <v>0</v>
      </c>
      <c r="N143" s="183">
        <f t="shared" si="46"/>
        <v>0</v>
      </c>
      <c r="O143" s="183">
        <f t="shared" si="46"/>
        <v>256.52999999999997</v>
      </c>
    </row>
    <row r="144" spans="1:15">
      <c r="A144" s="2109">
        <v>47</v>
      </c>
      <c r="B144" s="188" t="s">
        <v>93</v>
      </c>
      <c r="C144" s="177">
        <v>413269</v>
      </c>
      <c r="D144" s="181">
        <f>ROUND((C144*(1+'Løntabel gældende fra'!$D$7%)),0)</f>
        <v>516225</v>
      </c>
      <c r="E144" s="179">
        <v>413269</v>
      </c>
      <c r="F144" s="180">
        <f>ROUND((E144*(1+'Løntabel gældende fra'!$D$7%)),0)</f>
        <v>516225</v>
      </c>
      <c r="G144" s="177">
        <v>413269</v>
      </c>
      <c r="H144" s="181">
        <f>ROUND((G144*(1+'Løntabel gældende fra'!$D$7%)),0)</f>
        <v>516225</v>
      </c>
      <c r="I144" s="179">
        <v>413269</v>
      </c>
      <c r="J144" s="180">
        <f>ROUND((I144*(1+'Løntabel gældende fra'!$D$7%)),0)</f>
        <v>516225</v>
      </c>
      <c r="K144" s="177">
        <v>413269</v>
      </c>
      <c r="L144" s="181">
        <f>ROUND((K144*(1+'Løntabel gældende fra'!$D$7%)),0)</f>
        <v>516225</v>
      </c>
      <c r="M144" s="383"/>
      <c r="N144" s="362">
        <v>413268.87</v>
      </c>
      <c r="O144" s="363">
        <f>ROUND(N144*(1+'Løntabel gældende fra'!$D$7%),2)</f>
        <v>516224.89</v>
      </c>
    </row>
    <row r="145" spans="1:15">
      <c r="A145" s="2110"/>
      <c r="B145" s="366" t="s">
        <v>206</v>
      </c>
      <c r="C145" s="369"/>
      <c r="D145" s="376">
        <f>ROUND(D144/12,2)</f>
        <v>43018.75</v>
      </c>
      <c r="E145" s="373">
        <f>E144/12</f>
        <v>34439.083333333336</v>
      </c>
      <c r="F145" s="358">
        <f>ROUND(F144/12,2)</f>
        <v>43018.75</v>
      </c>
      <c r="G145" s="369">
        <f>G144/12</f>
        <v>34439.083333333336</v>
      </c>
      <c r="H145" s="376">
        <f>ROUND(H144/12,2)</f>
        <v>43018.75</v>
      </c>
      <c r="I145" s="373">
        <f>I144/12</f>
        <v>34439.083333333336</v>
      </c>
      <c r="J145" s="358">
        <f>ROUND(J144/12,2)</f>
        <v>43018.75</v>
      </c>
      <c r="K145" s="369">
        <f>K144/12</f>
        <v>34439.083333333336</v>
      </c>
      <c r="L145" s="376">
        <f>ROUND(L144/12,2)</f>
        <v>43018.75</v>
      </c>
      <c r="M145" s="381"/>
      <c r="N145" s="359"/>
      <c r="O145" s="361">
        <f>ROUND(O144/12,2)</f>
        <v>43018.74</v>
      </c>
    </row>
    <row r="146" spans="1:15" ht="15" thickBot="1">
      <c r="A146" s="2113"/>
      <c r="B146" s="368" t="s">
        <v>201</v>
      </c>
      <c r="C146" s="372">
        <f>C144/12</f>
        <v>34439.083333333336</v>
      </c>
      <c r="D146" s="183">
        <f>ROUND(D145/160.33,2)</f>
        <v>268.31</v>
      </c>
      <c r="E146" s="375"/>
      <c r="F146" s="183">
        <f t="shared" ref="F146:O146" si="47">ROUND(F145/160.33,2)</f>
        <v>268.31</v>
      </c>
      <c r="G146" s="183">
        <f t="shared" si="47"/>
        <v>214.8</v>
      </c>
      <c r="H146" s="183">
        <f t="shared" si="47"/>
        <v>268.31</v>
      </c>
      <c r="I146" s="183">
        <f t="shared" si="47"/>
        <v>214.8</v>
      </c>
      <c r="J146" s="183">
        <f t="shared" si="47"/>
        <v>268.31</v>
      </c>
      <c r="K146" s="183">
        <f t="shared" si="47"/>
        <v>214.8</v>
      </c>
      <c r="L146" s="183">
        <f t="shared" si="47"/>
        <v>268.31</v>
      </c>
      <c r="M146" s="183">
        <f t="shared" si="47"/>
        <v>0</v>
      </c>
      <c r="N146" s="183">
        <f t="shared" si="47"/>
        <v>0</v>
      </c>
      <c r="O146" s="183">
        <f t="shared" si="47"/>
        <v>268.31</v>
      </c>
    </row>
    <row r="147" spans="1:15">
      <c r="A147" s="2112">
        <v>48</v>
      </c>
      <c r="B147" s="189" t="s">
        <v>93</v>
      </c>
      <c r="C147" s="185">
        <v>441027</v>
      </c>
      <c r="D147" s="178">
        <f>ROUND((C147*(1+'Løntabel gældende fra'!$D$7%)),0)</f>
        <v>550898</v>
      </c>
      <c r="E147" s="186">
        <v>441027</v>
      </c>
      <c r="F147" s="187">
        <f>ROUND((E147*(1+'Løntabel gældende fra'!$D$7%)),0)</f>
        <v>550898</v>
      </c>
      <c r="G147" s="185">
        <v>441027</v>
      </c>
      <c r="H147" s="178">
        <f>ROUND((G147*(1+'Løntabel gældende fra'!$D$7%)),0)</f>
        <v>550898</v>
      </c>
      <c r="I147" s="186">
        <v>441027</v>
      </c>
      <c r="J147" s="187">
        <f>ROUND((I147*(1+'Løntabel gældende fra'!$D$7%)),0)</f>
        <v>550898</v>
      </c>
      <c r="K147" s="185">
        <v>441027</v>
      </c>
      <c r="L147" s="178">
        <f>ROUND((K147*(1+'Løntabel gældende fra'!$D$7%)),0)</f>
        <v>550898</v>
      </c>
      <c r="M147" s="382"/>
      <c r="N147" s="360">
        <v>441025.75</v>
      </c>
      <c r="O147" s="192">
        <f>ROUND(N147*(1+'Løntabel gældende fra'!$D$7%),2)</f>
        <v>550896.73</v>
      </c>
    </row>
    <row r="148" spans="1:15">
      <c r="A148" s="2110"/>
      <c r="B148" s="366" t="s">
        <v>206</v>
      </c>
      <c r="C148" s="369"/>
      <c r="D148" s="376">
        <f>ROUND(D147/12,2)</f>
        <v>45908.17</v>
      </c>
      <c r="E148" s="373">
        <f>E147/12</f>
        <v>36752.25</v>
      </c>
      <c r="F148" s="358">
        <f>ROUND(F147/12,2)</f>
        <v>45908.17</v>
      </c>
      <c r="G148" s="369">
        <f>G147/12</f>
        <v>36752.25</v>
      </c>
      <c r="H148" s="376">
        <f>ROUND(H147/12,2)</f>
        <v>45908.17</v>
      </c>
      <c r="I148" s="373">
        <f>I147/12</f>
        <v>36752.25</v>
      </c>
      <c r="J148" s="358">
        <f>ROUND(J147/12,2)</f>
        <v>45908.17</v>
      </c>
      <c r="K148" s="369">
        <f>K147/12</f>
        <v>36752.25</v>
      </c>
      <c r="L148" s="376">
        <f>ROUND(L147/12,2)</f>
        <v>45908.17</v>
      </c>
      <c r="M148" s="381"/>
      <c r="N148" s="359"/>
      <c r="O148" s="361">
        <f>ROUND(O147/12,2)</f>
        <v>45908.06</v>
      </c>
    </row>
    <row r="149" spans="1:15" ht="15" thickBot="1">
      <c r="A149" s="2111"/>
      <c r="B149" s="367" t="s">
        <v>201</v>
      </c>
      <c r="C149" s="182">
        <f>C147/12</f>
        <v>36752.25</v>
      </c>
      <c r="D149" s="183">
        <f>ROUND(D148/160.33,2)</f>
        <v>286.33999999999997</v>
      </c>
      <c r="E149" s="374"/>
      <c r="F149" s="183">
        <f t="shared" ref="F149:O149" si="48">ROUND(F148/160.33,2)</f>
        <v>286.33999999999997</v>
      </c>
      <c r="G149" s="183">
        <f t="shared" si="48"/>
        <v>229.23</v>
      </c>
      <c r="H149" s="183">
        <f t="shared" si="48"/>
        <v>286.33999999999997</v>
      </c>
      <c r="I149" s="183">
        <f t="shared" si="48"/>
        <v>229.23</v>
      </c>
      <c r="J149" s="183">
        <f t="shared" si="48"/>
        <v>286.33999999999997</v>
      </c>
      <c r="K149" s="183">
        <f t="shared" si="48"/>
        <v>229.23</v>
      </c>
      <c r="L149" s="183">
        <f t="shared" si="48"/>
        <v>286.33999999999997</v>
      </c>
      <c r="M149" s="183">
        <f t="shared" si="48"/>
        <v>0</v>
      </c>
      <c r="N149" s="183">
        <f t="shared" si="48"/>
        <v>0</v>
      </c>
      <c r="O149" s="183">
        <f t="shared" si="48"/>
        <v>286.33</v>
      </c>
    </row>
    <row r="150" spans="1:15">
      <c r="A150" s="2109">
        <v>49</v>
      </c>
      <c r="B150" s="188" t="s">
        <v>93</v>
      </c>
      <c r="C150" s="177">
        <v>471781</v>
      </c>
      <c r="D150" s="181">
        <f>ROUND((C150*(1+'Løntabel gældende fra'!$D$7%)),0)</f>
        <v>589314</v>
      </c>
      <c r="E150" s="179">
        <v>471781</v>
      </c>
      <c r="F150" s="180">
        <f>ROUND((E150*(1+'Løntabel gældende fra'!$D$7%)),0)</f>
        <v>589314</v>
      </c>
      <c r="G150" s="177">
        <v>471781</v>
      </c>
      <c r="H150" s="181">
        <f>ROUND((G150*(1+'Løntabel gældende fra'!$D$7%)),0)</f>
        <v>589314</v>
      </c>
      <c r="I150" s="179">
        <v>471781</v>
      </c>
      <c r="J150" s="180">
        <f>ROUND((I150*(1+'Løntabel gældende fra'!$D$7%)),0)</f>
        <v>589314</v>
      </c>
      <c r="K150" s="177">
        <v>471781</v>
      </c>
      <c r="L150" s="181">
        <f>ROUND((K150*(1+'Løntabel gældende fra'!$D$7%)),0)</f>
        <v>589314</v>
      </c>
      <c r="M150" s="383"/>
      <c r="N150" s="362">
        <v>471780.9</v>
      </c>
      <c r="O150" s="363">
        <f>ROUND(N150*(1+'Løntabel gældende fra'!$D$7%),2)</f>
        <v>589313.79</v>
      </c>
    </row>
    <row r="151" spans="1:15">
      <c r="A151" s="2110"/>
      <c r="B151" s="366" t="s">
        <v>206</v>
      </c>
      <c r="C151" s="369"/>
      <c r="D151" s="376">
        <f>ROUND(D150/12,2)</f>
        <v>49109.5</v>
      </c>
      <c r="E151" s="373">
        <f>E150/12</f>
        <v>39315.083333333336</v>
      </c>
      <c r="F151" s="358">
        <f>ROUND(F150/12,2)</f>
        <v>49109.5</v>
      </c>
      <c r="G151" s="369">
        <f>G150/12</f>
        <v>39315.083333333336</v>
      </c>
      <c r="H151" s="376">
        <f>ROUND(H150/12,2)</f>
        <v>49109.5</v>
      </c>
      <c r="I151" s="373">
        <f>I150/12</f>
        <v>39315.083333333336</v>
      </c>
      <c r="J151" s="358">
        <f>ROUND(J150/12,2)</f>
        <v>49109.5</v>
      </c>
      <c r="K151" s="369">
        <f>K150/12</f>
        <v>39315.083333333336</v>
      </c>
      <c r="L151" s="376">
        <f>ROUND(L150/12,2)</f>
        <v>49109.5</v>
      </c>
      <c r="M151" s="381"/>
      <c r="N151" s="359"/>
      <c r="O151" s="361">
        <f>ROUND(O150/12,2)</f>
        <v>49109.48</v>
      </c>
    </row>
    <row r="152" spans="1:15" ht="15" thickBot="1">
      <c r="A152" s="2113"/>
      <c r="B152" s="368" t="s">
        <v>201</v>
      </c>
      <c r="C152" s="372">
        <f>C150/12</f>
        <v>39315.083333333336</v>
      </c>
      <c r="D152" s="183">
        <f>ROUND(D151/160.33,2)</f>
        <v>306.3</v>
      </c>
      <c r="E152" s="375"/>
      <c r="F152" s="183">
        <f t="shared" ref="F152:O152" si="49">ROUND(F151/160.33,2)</f>
        <v>306.3</v>
      </c>
      <c r="G152" s="183">
        <f t="shared" si="49"/>
        <v>245.21</v>
      </c>
      <c r="H152" s="183">
        <f t="shared" si="49"/>
        <v>306.3</v>
      </c>
      <c r="I152" s="183">
        <f t="shared" si="49"/>
        <v>245.21</v>
      </c>
      <c r="J152" s="183">
        <f t="shared" si="49"/>
        <v>306.3</v>
      </c>
      <c r="K152" s="183">
        <f t="shared" si="49"/>
        <v>245.21</v>
      </c>
      <c r="L152" s="183">
        <f t="shared" si="49"/>
        <v>306.3</v>
      </c>
      <c r="M152" s="183">
        <f t="shared" si="49"/>
        <v>0</v>
      </c>
      <c r="N152" s="183">
        <f t="shared" si="49"/>
        <v>0</v>
      </c>
      <c r="O152" s="183">
        <f t="shared" si="49"/>
        <v>306.3</v>
      </c>
    </row>
    <row r="153" spans="1:15">
      <c r="A153" s="2112">
        <v>50</v>
      </c>
      <c r="B153" s="189" t="s">
        <v>93</v>
      </c>
      <c r="C153" s="185">
        <v>521094</v>
      </c>
      <c r="D153" s="178">
        <f>ROUND((C153*(1+'Løntabel gældende fra'!$D$7%)),0)</f>
        <v>650912</v>
      </c>
      <c r="E153" s="186">
        <v>521094</v>
      </c>
      <c r="F153" s="187">
        <f>ROUND((E153*(1+'Løntabel gældende fra'!$D$7%)),0)</f>
        <v>650912</v>
      </c>
      <c r="G153" s="378">
        <v>521094</v>
      </c>
      <c r="H153" s="178">
        <f>ROUND((G153*(1+'Løntabel gældende fra'!$D$7%)),0)</f>
        <v>650912</v>
      </c>
      <c r="I153" s="379">
        <v>521094</v>
      </c>
      <c r="J153" s="187">
        <f>ROUND((I153*(1+'Løntabel gældende fra'!$D$7%)),0)</f>
        <v>650912</v>
      </c>
      <c r="K153" s="378">
        <v>521094</v>
      </c>
      <c r="L153" s="178">
        <f>ROUND((K153*(1+'Løntabel gældende fra'!$D$7%)),0)</f>
        <v>650912</v>
      </c>
      <c r="M153" s="382"/>
      <c r="N153" s="360">
        <v>521094.47</v>
      </c>
      <c r="O153" s="192">
        <f>ROUND(N153*(1+'Løntabel gældende fra'!$D$7%),2)</f>
        <v>650912.65</v>
      </c>
    </row>
    <row r="154" spans="1:15">
      <c r="A154" s="2110"/>
      <c r="B154" s="366" t="s">
        <v>206</v>
      </c>
      <c r="C154" s="369"/>
      <c r="D154" s="376">
        <f>ROUND(D153/12,2)</f>
        <v>54242.67</v>
      </c>
      <c r="E154" s="373">
        <f>E153/12</f>
        <v>43424.5</v>
      </c>
      <c r="F154" s="358">
        <f>ROUND(F153/12,2)</f>
        <v>54242.67</v>
      </c>
      <c r="G154" s="369">
        <f>G153/12</f>
        <v>43424.5</v>
      </c>
      <c r="H154" s="376">
        <f>ROUND(H153/12,2)</f>
        <v>54242.67</v>
      </c>
      <c r="I154" s="373">
        <f>I153/12</f>
        <v>43424.5</v>
      </c>
      <c r="J154" s="358">
        <f>ROUND(J153/12,2)</f>
        <v>54242.67</v>
      </c>
      <c r="K154" s="369">
        <f>K153/12</f>
        <v>43424.5</v>
      </c>
      <c r="L154" s="376">
        <f>ROUND(L153/12,2)</f>
        <v>54242.67</v>
      </c>
      <c r="M154" s="381"/>
      <c r="N154" s="359"/>
      <c r="O154" s="361">
        <f>ROUND(O153/12,2)</f>
        <v>54242.720000000001</v>
      </c>
    </row>
    <row r="155" spans="1:15" ht="15" thickBot="1">
      <c r="A155" s="2111"/>
      <c r="B155" s="367" t="s">
        <v>201</v>
      </c>
      <c r="C155" s="182">
        <f>C153/12</f>
        <v>43424.5</v>
      </c>
      <c r="D155" s="183">
        <f>ROUND(D154/160.33,2)</f>
        <v>338.32</v>
      </c>
      <c r="E155" s="374"/>
      <c r="F155" s="183">
        <f t="shared" ref="F155:O155" si="50">ROUND(F154/160.33,2)</f>
        <v>338.32</v>
      </c>
      <c r="G155" s="183">
        <f t="shared" si="50"/>
        <v>270.83999999999997</v>
      </c>
      <c r="H155" s="183">
        <f t="shared" si="50"/>
        <v>338.32</v>
      </c>
      <c r="I155" s="183">
        <f t="shared" si="50"/>
        <v>270.83999999999997</v>
      </c>
      <c r="J155" s="183">
        <f t="shared" si="50"/>
        <v>338.32</v>
      </c>
      <c r="K155" s="183">
        <f t="shared" si="50"/>
        <v>270.83999999999997</v>
      </c>
      <c r="L155" s="183">
        <f t="shared" si="50"/>
        <v>338.32</v>
      </c>
      <c r="M155" s="183">
        <f t="shared" si="50"/>
        <v>0</v>
      </c>
      <c r="N155" s="183">
        <f t="shared" si="50"/>
        <v>0</v>
      </c>
      <c r="O155" s="183">
        <f t="shared" si="50"/>
        <v>338.32</v>
      </c>
    </row>
    <row r="156" spans="1:15">
      <c r="A156" s="2109">
        <v>51</v>
      </c>
      <c r="B156" s="188" t="s">
        <v>93</v>
      </c>
      <c r="C156" s="177">
        <v>592911</v>
      </c>
      <c r="D156" s="181">
        <f>ROUND((C156*(1+'Løntabel gældende fra'!$D$7%)),0)</f>
        <v>740621</v>
      </c>
      <c r="E156" s="179">
        <v>592911</v>
      </c>
      <c r="F156" s="180">
        <f>ROUND((E156*(1+'Løntabel gældende fra'!$D$7%)),0)</f>
        <v>740621</v>
      </c>
      <c r="G156" s="190">
        <v>592911</v>
      </c>
      <c r="H156" s="181">
        <f>ROUND((G156*(1+'Løntabel gældende fra'!$D$7%)),0)</f>
        <v>740621</v>
      </c>
      <c r="I156" s="191">
        <v>592911</v>
      </c>
      <c r="J156" s="180">
        <f>ROUND((I156*(1+'Løntabel gældende fra'!$D$7%)),0)</f>
        <v>740621</v>
      </c>
      <c r="K156" s="190">
        <v>592911</v>
      </c>
      <c r="L156" s="181">
        <f>ROUND((K156*(1+'Løntabel gældende fra'!$D$7%)),0)</f>
        <v>740621</v>
      </c>
      <c r="M156" s="383"/>
      <c r="N156" s="362">
        <v>592911.94999999995</v>
      </c>
      <c r="O156" s="363">
        <f>ROUND(N156*(1+'Løntabel gældende fra'!$D$7%),2)</f>
        <v>740621.73</v>
      </c>
    </row>
    <row r="157" spans="1:15">
      <c r="A157" s="2110"/>
      <c r="B157" s="366" t="s">
        <v>94</v>
      </c>
      <c r="C157" s="369"/>
      <c r="D157" s="376">
        <f>ROUND(D156/12,2)</f>
        <v>61718.42</v>
      </c>
      <c r="E157" s="373">
        <f>E156/12</f>
        <v>49409.25</v>
      </c>
      <c r="F157" s="358">
        <f>ROUND(F156/12,2)</f>
        <v>61718.42</v>
      </c>
      <c r="G157" s="369">
        <f>G156/12</f>
        <v>49409.25</v>
      </c>
      <c r="H157" s="376">
        <f>ROUND(H156/12,2)</f>
        <v>61718.42</v>
      </c>
      <c r="I157" s="373">
        <f>I156/12</f>
        <v>49409.25</v>
      </c>
      <c r="J157" s="358">
        <f>ROUND(J156/12,2)</f>
        <v>61718.42</v>
      </c>
      <c r="K157" s="369">
        <f>K156/12</f>
        <v>49409.25</v>
      </c>
      <c r="L157" s="376">
        <f>ROUND(L156/12,2)</f>
        <v>61718.42</v>
      </c>
      <c r="M157" s="381"/>
      <c r="N157" s="359"/>
      <c r="O157" s="361">
        <f>ROUND(O156/12,2)</f>
        <v>61718.48</v>
      </c>
    </row>
    <row r="158" spans="1:15" ht="15" thickBot="1">
      <c r="A158" s="2111"/>
      <c r="B158" s="367" t="s">
        <v>201</v>
      </c>
      <c r="C158" s="182">
        <f>C156/12</f>
        <v>49409.25</v>
      </c>
      <c r="D158" s="183">
        <f>ROUND(D157/160.33,2)</f>
        <v>384.95</v>
      </c>
      <c r="E158" s="374"/>
      <c r="F158" s="183">
        <f t="shared" ref="F158:O158" si="51">ROUND(F157/160.33,2)</f>
        <v>384.95</v>
      </c>
      <c r="G158" s="183">
        <f t="shared" si="51"/>
        <v>308.17</v>
      </c>
      <c r="H158" s="183">
        <f t="shared" si="51"/>
        <v>384.95</v>
      </c>
      <c r="I158" s="183">
        <f t="shared" si="51"/>
        <v>308.17</v>
      </c>
      <c r="J158" s="183">
        <f t="shared" si="51"/>
        <v>384.95</v>
      </c>
      <c r="K158" s="183">
        <f t="shared" si="51"/>
        <v>308.17</v>
      </c>
      <c r="L158" s="183">
        <f t="shared" si="51"/>
        <v>384.95</v>
      </c>
      <c r="M158" s="183">
        <f t="shared" si="51"/>
        <v>0</v>
      </c>
      <c r="N158" s="183">
        <f t="shared" si="51"/>
        <v>0</v>
      </c>
      <c r="O158" s="183">
        <f t="shared" si="51"/>
        <v>384.95</v>
      </c>
    </row>
  </sheetData>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6"/>
  <sheetViews>
    <sheetView view="pageBreakPreview" zoomScale="125" zoomScaleNormal="125" zoomScalePageLayoutView="125" workbookViewId="0">
      <selection activeCell="D2" sqref="D2"/>
    </sheetView>
  </sheetViews>
  <sheetFormatPr defaultColWidth="11.33203125" defaultRowHeight="14.4"/>
  <cols>
    <col min="2" max="2" width="11.109375" customWidth="1"/>
    <col min="3" max="3" width="15.33203125" customWidth="1"/>
    <col min="4" max="4" width="11.33203125" customWidth="1"/>
    <col min="6" max="6" width="20" customWidth="1"/>
    <col min="7" max="7" width="16.33203125" customWidth="1"/>
    <col min="8" max="8" width="8.109375" customWidth="1"/>
  </cols>
  <sheetData>
    <row r="1" spans="1:9">
      <c r="A1" t="s">
        <v>31</v>
      </c>
      <c r="C1" s="5"/>
      <c r="D1" s="575" t="s">
        <v>563</v>
      </c>
    </row>
    <row r="3" spans="1:9" ht="21">
      <c r="A3" s="19" t="s">
        <v>25</v>
      </c>
      <c r="B3" s="20"/>
      <c r="C3" s="20"/>
      <c r="D3" s="20"/>
      <c r="E3" s="20"/>
      <c r="F3" s="20"/>
      <c r="G3" s="20"/>
    </row>
    <row r="4" spans="1:9">
      <c r="A4" s="20"/>
      <c r="B4" s="20"/>
      <c r="C4" s="20"/>
      <c r="D4" s="20"/>
      <c r="E4" s="20"/>
      <c r="F4" s="20"/>
      <c r="G4" s="20"/>
      <c r="H4" s="2"/>
      <c r="I4" s="2"/>
    </row>
    <row r="5" spans="1:9" ht="17.399999999999999">
      <c r="A5" s="17" t="s">
        <v>26</v>
      </c>
      <c r="B5" s="20"/>
      <c r="C5" s="20"/>
      <c r="D5" s="20"/>
      <c r="E5" s="20"/>
      <c r="F5" s="20"/>
      <c r="G5" s="20"/>
      <c r="H5" s="2"/>
      <c r="I5" s="2"/>
    </row>
    <row r="6" spans="1:9">
      <c r="A6" s="20"/>
      <c r="B6" s="20"/>
      <c r="C6" s="20"/>
      <c r="D6" s="20"/>
      <c r="E6" s="20"/>
      <c r="F6" s="20"/>
      <c r="G6" s="20"/>
      <c r="H6" s="2"/>
      <c r="I6" s="2"/>
    </row>
    <row r="7" spans="1:9" ht="15.6">
      <c r="A7" s="2126" t="s">
        <v>29</v>
      </c>
      <c r="B7" s="2126"/>
      <c r="C7" s="564">
        <v>45962</v>
      </c>
      <c r="D7" s="28">
        <v>24.912600000000001</v>
      </c>
      <c r="E7" s="27" t="s">
        <v>33</v>
      </c>
      <c r="F7" s="27"/>
      <c r="G7" s="131">
        <v>46112</v>
      </c>
      <c r="H7" s="2"/>
      <c r="I7" s="2"/>
    </row>
    <row r="8" spans="1:9">
      <c r="A8" s="20"/>
      <c r="B8" s="20"/>
      <c r="C8" s="14"/>
      <c r="D8" s="20"/>
      <c r="E8" s="20"/>
      <c r="F8" s="20"/>
      <c r="G8" s="20"/>
      <c r="H8" s="2"/>
      <c r="I8" s="2"/>
    </row>
    <row r="9" spans="1:9" ht="15" thickBot="1">
      <c r="A9" s="21" t="s">
        <v>30</v>
      </c>
      <c r="B9" s="20"/>
      <c r="C9" s="20"/>
      <c r="D9" s="20"/>
      <c r="E9" s="20"/>
      <c r="F9" s="20"/>
      <c r="G9" s="20"/>
      <c r="H9" s="2"/>
      <c r="I9" s="2"/>
    </row>
    <row r="10" spans="1:9">
      <c r="A10" s="22" t="s">
        <v>27</v>
      </c>
      <c r="B10" s="23" t="s">
        <v>28</v>
      </c>
      <c r="C10" s="2127" t="s">
        <v>32</v>
      </c>
      <c r="D10" s="2127"/>
      <c r="E10" s="2127"/>
      <c r="F10" s="2127"/>
      <c r="G10" s="2127"/>
      <c r="H10" s="2"/>
      <c r="I10" s="2"/>
    </row>
    <row r="11" spans="1:9">
      <c r="A11" s="201">
        <v>40999</v>
      </c>
      <c r="B11" s="29">
        <v>1</v>
      </c>
      <c r="C11" s="2127"/>
      <c r="D11" s="2127"/>
      <c r="E11" s="2127"/>
      <c r="F11" s="2127"/>
      <c r="G11" s="2127"/>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2">
        <v>41730</v>
      </c>
      <c r="B14" s="18">
        <v>1.7161999999999999</v>
      </c>
      <c r="C14" s="20"/>
      <c r="D14" s="20"/>
      <c r="E14" s="20"/>
      <c r="F14" s="20"/>
      <c r="G14" s="20"/>
      <c r="H14" s="2"/>
      <c r="I14" s="2"/>
    </row>
    <row r="15" spans="1:9">
      <c r="A15" s="202">
        <v>42095</v>
      </c>
      <c r="B15" s="18">
        <v>2.1745000000000001</v>
      </c>
      <c r="C15" s="20"/>
      <c r="D15" s="20"/>
      <c r="E15" s="20"/>
      <c r="F15" s="20"/>
      <c r="G15" s="20"/>
      <c r="H15" s="2"/>
      <c r="I15" s="2"/>
    </row>
    <row r="16" spans="1:9">
      <c r="A16" s="202">
        <v>42461</v>
      </c>
      <c r="B16" s="18">
        <v>2.9882</v>
      </c>
      <c r="C16" s="20"/>
      <c r="D16" s="20"/>
      <c r="E16" s="20"/>
      <c r="F16" s="20"/>
      <c r="G16" s="20"/>
      <c r="H16" s="2"/>
      <c r="I16" s="2"/>
    </row>
    <row r="17" spans="1:12">
      <c r="A17" s="202">
        <v>42826</v>
      </c>
      <c r="B17" s="18">
        <v>4.2446000000000002</v>
      </c>
      <c r="C17" s="20"/>
      <c r="D17" s="20"/>
      <c r="E17" s="20"/>
      <c r="F17" s="20"/>
      <c r="G17" s="20"/>
      <c r="H17" s="2"/>
      <c r="I17" s="2"/>
      <c r="L17" s="13"/>
    </row>
    <row r="18" spans="1:12">
      <c r="A18" s="202">
        <v>43070</v>
      </c>
      <c r="B18" s="18">
        <v>5.7702999999999998</v>
      </c>
      <c r="C18" s="20"/>
      <c r="D18" s="20"/>
      <c r="E18" s="20"/>
      <c r="F18" s="27"/>
      <c r="G18" s="20"/>
      <c r="H18" s="2"/>
      <c r="I18" s="2"/>
    </row>
    <row r="19" spans="1:12">
      <c r="A19" s="687">
        <v>43191</v>
      </c>
      <c r="B19" s="688">
        <v>6.9683000000000002</v>
      </c>
      <c r="C19" s="20"/>
      <c r="D19" s="20"/>
      <c r="E19" s="20"/>
      <c r="F19" s="20"/>
      <c r="G19" s="20"/>
      <c r="H19" s="2"/>
      <c r="I19" s="2"/>
    </row>
    <row r="20" spans="1:12">
      <c r="A20" s="687">
        <v>43373</v>
      </c>
      <c r="B20" s="688">
        <v>7.4972000000000003</v>
      </c>
      <c r="C20" s="20"/>
      <c r="D20" s="20"/>
      <c r="E20" s="20"/>
      <c r="F20" s="20"/>
      <c r="G20" s="20"/>
      <c r="H20" s="2"/>
      <c r="I20" s="2"/>
    </row>
    <row r="21" spans="1:12">
      <c r="A21" s="687">
        <v>43556</v>
      </c>
      <c r="B21" s="688">
        <v>8.4910999999999994</v>
      </c>
      <c r="C21" s="20"/>
      <c r="D21" s="20"/>
      <c r="E21" s="20"/>
      <c r="F21" s="20"/>
      <c r="G21" s="20"/>
      <c r="H21" s="2"/>
      <c r="I21" s="2"/>
    </row>
    <row r="22" spans="1:12">
      <c r="A22" s="687">
        <v>43739</v>
      </c>
      <c r="B22" s="688">
        <v>9.4007000000000005</v>
      </c>
      <c r="C22" s="20"/>
      <c r="D22" s="20"/>
      <c r="E22" s="20"/>
      <c r="F22" s="20"/>
      <c r="G22" s="20"/>
      <c r="H22" s="2"/>
      <c r="I22" s="2"/>
    </row>
    <row r="23" spans="1:12">
      <c r="A23" s="687">
        <v>43922</v>
      </c>
      <c r="B23" s="688">
        <v>10.323600000000001</v>
      </c>
      <c r="C23" s="20"/>
      <c r="D23" s="20"/>
      <c r="E23" s="20"/>
      <c r="F23" s="20"/>
      <c r="G23" s="20"/>
      <c r="H23" s="2"/>
      <c r="I23" s="2"/>
    </row>
    <row r="24" spans="1:12">
      <c r="A24" s="687">
        <v>44228</v>
      </c>
      <c r="B24" s="688">
        <v>10.2211</v>
      </c>
      <c r="C24" s="20"/>
      <c r="D24" s="20"/>
      <c r="E24" s="20"/>
      <c r="F24" s="20"/>
      <c r="G24" s="20"/>
      <c r="H24" s="2"/>
      <c r="I24" s="2"/>
    </row>
    <row r="25" spans="1:12">
      <c r="A25" s="687">
        <v>44287</v>
      </c>
      <c r="B25" s="688">
        <v>11.1029</v>
      </c>
      <c r="C25" s="20"/>
      <c r="D25" s="20"/>
      <c r="E25" s="20"/>
      <c r="F25" s="20"/>
      <c r="G25" s="20"/>
      <c r="H25" s="2"/>
      <c r="I25" s="2"/>
    </row>
    <row r="26" spans="1:12">
      <c r="A26" s="687">
        <v>44470</v>
      </c>
      <c r="B26" s="688">
        <v>11.4336</v>
      </c>
      <c r="C26" s="20"/>
      <c r="D26" s="20"/>
      <c r="E26" s="20"/>
      <c r="F26" s="20"/>
      <c r="G26" s="20"/>
      <c r="H26" s="2"/>
      <c r="I26" s="2"/>
    </row>
    <row r="27" spans="1:12">
      <c r="A27" s="687">
        <v>44652</v>
      </c>
      <c r="B27" s="688">
        <v>13.410399999999999</v>
      </c>
      <c r="C27" s="20"/>
      <c r="D27" s="20"/>
      <c r="E27" s="20"/>
      <c r="F27" s="20"/>
      <c r="G27" s="20"/>
      <c r="H27" s="2"/>
      <c r="I27" s="2"/>
    </row>
    <row r="28" spans="1:12">
      <c r="A28" s="687">
        <v>44835</v>
      </c>
      <c r="B28" s="688">
        <v>13.741099999999999</v>
      </c>
      <c r="C28" s="20"/>
      <c r="D28" s="20"/>
      <c r="E28" s="20"/>
      <c r="F28" s="20"/>
      <c r="G28" s="20"/>
      <c r="H28" s="2"/>
      <c r="I28" s="2"/>
    </row>
    <row r="29" spans="1:12">
      <c r="A29" s="687">
        <v>45017</v>
      </c>
      <c r="B29" s="688">
        <v>15.533899999999999</v>
      </c>
      <c r="C29" s="20"/>
      <c r="D29" s="20"/>
      <c r="E29" s="20"/>
      <c r="F29" s="20"/>
      <c r="G29" s="20"/>
      <c r="H29" s="2"/>
      <c r="I29" s="2"/>
    </row>
    <row r="30" spans="1:12">
      <c r="A30" s="687">
        <v>45200</v>
      </c>
      <c r="B30" s="688">
        <v>15.919700000000001</v>
      </c>
      <c r="C30" s="20"/>
      <c r="D30" s="20"/>
      <c r="E30" s="20"/>
      <c r="F30" s="20"/>
      <c r="G30" s="20"/>
      <c r="H30" s="2"/>
      <c r="I30" s="2"/>
    </row>
    <row r="31" spans="1:12">
      <c r="A31" s="687">
        <v>45383</v>
      </c>
      <c r="B31" s="688">
        <v>22.806699999999999</v>
      </c>
      <c r="C31" s="20"/>
      <c r="D31" s="20"/>
      <c r="E31" s="20"/>
      <c r="F31" s="20"/>
      <c r="G31" s="20"/>
      <c r="H31" s="2"/>
      <c r="I31" s="2"/>
    </row>
    <row r="32" spans="1:12">
      <c r="A32" s="687">
        <v>45748</v>
      </c>
      <c r="B32" s="688">
        <v>23.3095</v>
      </c>
      <c r="C32" s="20"/>
      <c r="D32" s="20"/>
      <c r="E32" s="20"/>
      <c r="F32" s="20"/>
      <c r="G32" s="20"/>
      <c r="H32" s="2"/>
      <c r="I32" s="2"/>
    </row>
    <row r="33" spans="1:9" ht="15" thickBot="1">
      <c r="A33" s="972">
        <v>45962</v>
      </c>
      <c r="B33" s="973">
        <v>24.912600000000001</v>
      </c>
      <c r="C33" s="20"/>
      <c r="D33" s="20"/>
      <c r="E33" s="20"/>
      <c r="F33" s="20"/>
      <c r="G33" s="20"/>
      <c r="H33" s="2"/>
      <c r="I33" s="2"/>
    </row>
    <row r="34" spans="1:9">
      <c r="A34" s="833"/>
      <c r="B34" s="7"/>
      <c r="C34" s="20"/>
      <c r="D34" s="20"/>
      <c r="E34" s="20"/>
      <c r="F34" s="20"/>
      <c r="G34" s="20"/>
      <c r="H34" s="2"/>
      <c r="I34" s="2"/>
    </row>
    <row r="35" spans="1:9">
      <c r="A35" s="833"/>
      <c r="B35" s="7"/>
      <c r="C35" s="20"/>
      <c r="D35" s="20"/>
      <c r="E35" s="20"/>
      <c r="F35" s="20"/>
      <c r="G35" s="20"/>
      <c r="H35" s="2"/>
      <c r="I35" s="2"/>
    </row>
    <row r="36" spans="1:9">
      <c r="A36" s="833"/>
      <c r="B36" s="7"/>
      <c r="C36" s="20"/>
      <c r="D36" s="20"/>
      <c r="E36" s="20"/>
      <c r="F36" s="20"/>
      <c r="G36" s="20"/>
      <c r="H36" s="2"/>
      <c r="I36" s="2"/>
    </row>
  </sheetData>
  <mergeCells count="2">
    <mergeCell ref="A7:B7"/>
    <mergeCell ref="C10:G11"/>
  </mergeCells>
  <phoneticPr fontId="7" type="noConversion"/>
  <pageMargins left="0.75000000000000011" right="0.75000000000000011" top="0.98" bottom="0.98" header="0.51" footer="0.51"/>
  <pageSetup paperSize="9" scale="88"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defaultColWidth="11.33203125" defaultRowHeight="14.4"/>
  <cols>
    <col min="1" max="1" width="11.33203125" customWidth="1"/>
    <col min="2" max="2" width="60.109375" customWidth="1"/>
    <col min="3" max="3" width="12.33203125" customWidth="1"/>
    <col min="4" max="4" width="12.6640625" customWidth="1"/>
    <col min="5" max="6" width="13" customWidth="1"/>
    <col min="7" max="7" width="14.77734375" customWidth="1"/>
    <col min="9" max="9" width="9.33203125" customWidth="1"/>
  </cols>
  <sheetData>
    <row r="1" spans="1:9">
      <c r="A1" s="1004" t="s">
        <v>255</v>
      </c>
      <c r="B1" s="1010" t="s">
        <v>247</v>
      </c>
      <c r="C1" s="1010"/>
      <c r="D1" s="1010"/>
      <c r="E1" s="1010"/>
      <c r="F1" s="1010"/>
      <c r="G1" s="1010"/>
      <c r="H1" s="1010"/>
      <c r="I1" s="1011"/>
    </row>
    <row r="2" spans="1:9" ht="15" thickBot="1">
      <c r="A2" s="1005"/>
      <c r="B2" s="1012"/>
      <c r="C2" s="1012"/>
      <c r="D2" s="1012"/>
      <c r="E2" s="1012"/>
      <c r="F2" s="1012"/>
      <c r="G2" s="1012"/>
      <c r="H2" s="1012"/>
      <c r="I2" s="1013"/>
    </row>
    <row r="3" spans="1:9" ht="42" customHeight="1" thickBot="1">
      <c r="A3" s="1005"/>
      <c r="B3" s="996" t="s">
        <v>257</v>
      </c>
      <c r="C3" s="997"/>
      <c r="D3" s="997"/>
      <c r="E3" s="997"/>
      <c r="F3" s="997"/>
      <c r="G3" s="997"/>
      <c r="H3" s="997"/>
      <c r="I3" s="998"/>
    </row>
    <row r="4" spans="1:9" ht="15" customHeight="1">
      <c r="A4" s="1005"/>
      <c r="B4" s="467" t="s">
        <v>245</v>
      </c>
      <c r="C4" s="488" t="s">
        <v>230</v>
      </c>
      <c r="D4" s="489" t="s">
        <v>231</v>
      </c>
      <c r="E4" s="489" t="s">
        <v>232</v>
      </c>
      <c r="F4" s="488" t="s">
        <v>233</v>
      </c>
      <c r="G4" s="1025" t="s">
        <v>259</v>
      </c>
      <c r="H4" s="1025" t="s">
        <v>261</v>
      </c>
      <c r="I4" s="1027" t="s">
        <v>238</v>
      </c>
    </row>
    <row r="5" spans="1:9" ht="42" thickBot="1">
      <c r="A5" s="1005"/>
      <c r="B5" s="468" t="s">
        <v>244</v>
      </c>
      <c r="C5" s="490" t="s">
        <v>249</v>
      </c>
      <c r="D5" s="490" t="s">
        <v>250</v>
      </c>
      <c r="E5" s="490" t="s">
        <v>251</v>
      </c>
      <c r="F5" s="490" t="s">
        <v>252</v>
      </c>
      <c r="G5" s="1026"/>
      <c r="H5" s="1026"/>
      <c r="I5" s="1028"/>
    </row>
    <row r="6" spans="1:9">
      <c r="A6" s="1005"/>
      <c r="B6" s="383" t="s">
        <v>234</v>
      </c>
      <c r="C6" s="462" t="s">
        <v>235</v>
      </c>
      <c r="D6" s="462" t="s">
        <v>235</v>
      </c>
      <c r="E6" s="462" t="s">
        <v>235</v>
      </c>
      <c r="F6" s="462" t="s">
        <v>235</v>
      </c>
      <c r="G6" s="462" t="s">
        <v>240</v>
      </c>
      <c r="H6" s="462" t="s">
        <v>240</v>
      </c>
      <c r="I6" s="463" t="s">
        <v>240</v>
      </c>
    </row>
    <row r="7" spans="1:9">
      <c r="A7" s="1005"/>
      <c r="B7" s="381" t="s">
        <v>256</v>
      </c>
      <c r="C7" s="461" t="s">
        <v>235</v>
      </c>
      <c r="D7" s="461" t="s">
        <v>235</v>
      </c>
      <c r="E7" s="461" t="s">
        <v>235</v>
      </c>
      <c r="F7" s="461" t="s">
        <v>235</v>
      </c>
      <c r="G7" s="461" t="s">
        <v>241</v>
      </c>
      <c r="H7" s="461" t="s">
        <v>240</v>
      </c>
      <c r="I7" s="464" t="s">
        <v>241</v>
      </c>
    </row>
    <row r="8" spans="1:9">
      <c r="A8" s="1005"/>
      <c r="B8" s="381" t="s">
        <v>13</v>
      </c>
      <c r="C8" s="461" t="s">
        <v>235</v>
      </c>
      <c r="D8" s="461" t="s">
        <v>235</v>
      </c>
      <c r="E8" s="461" t="s">
        <v>235</v>
      </c>
      <c r="F8" s="461" t="s">
        <v>235</v>
      </c>
      <c r="G8" s="461" t="s">
        <v>240</v>
      </c>
      <c r="H8" s="461" t="s">
        <v>241</v>
      </c>
      <c r="I8" s="464" t="s">
        <v>240</v>
      </c>
    </row>
    <row r="9" spans="1:9">
      <c r="A9" s="1005"/>
      <c r="B9" s="381" t="s">
        <v>236</v>
      </c>
      <c r="C9" s="461" t="s">
        <v>235</v>
      </c>
      <c r="D9" s="461" t="s">
        <v>235</v>
      </c>
      <c r="E9" s="461" t="s">
        <v>235</v>
      </c>
      <c r="F9" s="461"/>
      <c r="G9" s="461" t="s">
        <v>241</v>
      </c>
      <c r="H9" s="461" t="s">
        <v>240</v>
      </c>
      <c r="I9" s="464" t="s">
        <v>240</v>
      </c>
    </row>
    <row r="10" spans="1:9">
      <c r="A10" s="1005"/>
      <c r="B10" s="381" t="s">
        <v>237</v>
      </c>
      <c r="C10" s="461" t="s">
        <v>235</v>
      </c>
      <c r="D10" s="461" t="s">
        <v>235</v>
      </c>
      <c r="E10" s="461" t="s">
        <v>235</v>
      </c>
      <c r="F10" s="461" t="s">
        <v>235</v>
      </c>
      <c r="G10" s="461" t="s">
        <v>240</v>
      </c>
      <c r="H10" s="461" t="s">
        <v>240</v>
      </c>
      <c r="I10" s="464" t="s">
        <v>240</v>
      </c>
    </row>
    <row r="11" spans="1:9">
      <c r="A11" s="1005"/>
      <c r="B11" s="381" t="s">
        <v>530</v>
      </c>
      <c r="C11" s="461" t="s">
        <v>235</v>
      </c>
      <c r="D11" s="461" t="s">
        <v>235</v>
      </c>
      <c r="E11" s="461" t="s">
        <v>235</v>
      </c>
      <c r="F11" s="461" t="s">
        <v>235</v>
      </c>
      <c r="G11" s="484" t="s">
        <v>240</v>
      </c>
      <c r="H11" s="484" t="s">
        <v>240</v>
      </c>
      <c r="I11" s="686" t="s">
        <v>240</v>
      </c>
    </row>
    <row r="12" spans="1:9">
      <c r="A12" s="1005"/>
      <c r="B12" s="1029" t="s">
        <v>265</v>
      </c>
      <c r="C12" s="1024"/>
      <c r="D12" s="1024"/>
      <c r="E12" s="1024"/>
      <c r="F12" s="1024" t="s">
        <v>243</v>
      </c>
      <c r="G12" s="1016" t="s">
        <v>240</v>
      </c>
      <c r="H12" s="1016" t="s">
        <v>240</v>
      </c>
      <c r="I12" s="1018" t="s">
        <v>240</v>
      </c>
    </row>
    <row r="13" spans="1:9">
      <c r="A13" s="1005"/>
      <c r="B13" s="1029"/>
      <c r="C13" s="1024"/>
      <c r="D13" s="1024"/>
      <c r="E13" s="1024"/>
      <c r="F13" s="1024"/>
      <c r="G13" s="1017"/>
      <c r="H13" s="1017"/>
      <c r="I13" s="1019"/>
    </row>
    <row r="14" spans="1:9" ht="28.8">
      <c r="A14" s="1005"/>
      <c r="B14" s="483" t="s">
        <v>270</v>
      </c>
      <c r="C14" s="461" t="s">
        <v>243</v>
      </c>
      <c r="D14" s="461" t="s">
        <v>243</v>
      </c>
      <c r="E14" s="461" t="s">
        <v>243</v>
      </c>
      <c r="F14" s="461" t="s">
        <v>243</v>
      </c>
      <c r="G14" s="462" t="s">
        <v>240</v>
      </c>
      <c r="H14" s="462" t="s">
        <v>240</v>
      </c>
      <c r="I14" s="463" t="s">
        <v>240</v>
      </c>
    </row>
    <row r="15" spans="1:9">
      <c r="A15" s="1005"/>
      <c r="B15" s="381" t="s">
        <v>246</v>
      </c>
      <c r="C15" s="461" t="s">
        <v>235</v>
      </c>
      <c r="D15" s="461" t="s">
        <v>235</v>
      </c>
      <c r="E15" s="461" t="s">
        <v>235</v>
      </c>
      <c r="F15" s="461" t="s">
        <v>235</v>
      </c>
      <c r="G15" s="461" t="s">
        <v>240</v>
      </c>
      <c r="H15" s="461" t="s">
        <v>241</v>
      </c>
      <c r="I15" s="464" t="s">
        <v>240</v>
      </c>
    </row>
    <row r="16" spans="1:9">
      <c r="A16" s="1005"/>
      <c r="B16" s="1022" t="s">
        <v>447</v>
      </c>
      <c r="C16" s="1023" t="s">
        <v>235</v>
      </c>
      <c r="D16" s="1024" t="s">
        <v>235</v>
      </c>
      <c r="E16" s="1024" t="s">
        <v>235</v>
      </c>
      <c r="F16" s="1023" t="s">
        <v>235</v>
      </c>
      <c r="G16" s="1016" t="s">
        <v>241</v>
      </c>
      <c r="H16" s="1016" t="s">
        <v>241</v>
      </c>
      <c r="I16" s="1018" t="s">
        <v>240</v>
      </c>
    </row>
    <row r="17" spans="1:9" ht="1.05" customHeight="1">
      <c r="A17" s="1005"/>
      <c r="B17" s="1022"/>
      <c r="C17" s="1023"/>
      <c r="D17" s="1024"/>
      <c r="E17" s="1024"/>
      <c r="F17" s="1023"/>
      <c r="G17" s="1017"/>
      <c r="H17" s="1017"/>
      <c r="I17" s="1019"/>
    </row>
    <row r="18" spans="1:9" ht="41.4">
      <c r="A18" s="1005"/>
      <c r="B18" s="381" t="s">
        <v>258</v>
      </c>
      <c r="C18" s="461" t="s">
        <v>235</v>
      </c>
      <c r="D18" s="461" t="s">
        <v>235</v>
      </c>
      <c r="E18" s="461" t="s">
        <v>235</v>
      </c>
      <c r="F18" s="461" t="s">
        <v>235</v>
      </c>
      <c r="G18" s="591" t="s">
        <v>312</v>
      </c>
      <c r="H18" s="461" t="s">
        <v>241</v>
      </c>
      <c r="I18" s="464" t="s">
        <v>240</v>
      </c>
    </row>
    <row r="19" spans="1:9">
      <c r="A19" s="1005"/>
      <c r="B19" s="381" t="s">
        <v>64</v>
      </c>
      <c r="C19" s="461" t="s">
        <v>235</v>
      </c>
      <c r="D19" s="461" t="s">
        <v>235</v>
      </c>
      <c r="E19" s="461" t="s">
        <v>235</v>
      </c>
      <c r="F19" s="461" t="s">
        <v>235</v>
      </c>
      <c r="G19" s="461" t="s">
        <v>241</v>
      </c>
      <c r="H19" s="484" t="s">
        <v>241</v>
      </c>
      <c r="I19" s="464" t="s">
        <v>241</v>
      </c>
    </row>
    <row r="20" spans="1:9">
      <c r="A20" s="1005"/>
      <c r="B20" s="381" t="s">
        <v>242</v>
      </c>
      <c r="C20" s="461" t="s">
        <v>235</v>
      </c>
      <c r="D20" s="461" t="s">
        <v>235</v>
      </c>
      <c r="E20" s="461" t="s">
        <v>235</v>
      </c>
      <c r="F20" s="461" t="s">
        <v>235</v>
      </c>
      <c r="G20" s="461" t="s">
        <v>240</v>
      </c>
      <c r="H20" s="1020" t="s">
        <v>260</v>
      </c>
      <c r="I20" s="464" t="s">
        <v>240</v>
      </c>
    </row>
    <row r="21" spans="1:9" ht="15" thickBot="1">
      <c r="A21" s="1005"/>
      <c r="B21" s="481" t="s">
        <v>239</v>
      </c>
      <c r="C21" s="465" t="s">
        <v>235</v>
      </c>
      <c r="D21" s="465" t="s">
        <v>235</v>
      </c>
      <c r="E21" s="465" t="s">
        <v>235</v>
      </c>
      <c r="F21" s="465" t="s">
        <v>235</v>
      </c>
      <c r="G21" s="465" t="s">
        <v>240</v>
      </c>
      <c r="H21" s="1021"/>
      <c r="I21" s="466" t="s">
        <v>240</v>
      </c>
    </row>
    <row r="22" spans="1:9">
      <c r="A22" s="1005"/>
      <c r="B22" s="482" t="s">
        <v>221</v>
      </c>
      <c r="C22" s="474"/>
      <c r="D22" s="474"/>
      <c r="E22" s="475"/>
      <c r="F22" s="475"/>
      <c r="G22" s="476"/>
      <c r="H22" s="476"/>
      <c r="I22" s="477"/>
    </row>
    <row r="23" spans="1:9">
      <c r="A23" s="1005"/>
      <c r="B23" s="485" t="s">
        <v>222</v>
      </c>
      <c r="C23" s="485"/>
      <c r="D23" s="485"/>
      <c r="E23" s="42"/>
      <c r="F23" s="42"/>
      <c r="G23" s="53"/>
      <c r="H23" s="53"/>
      <c r="I23" s="478"/>
    </row>
    <row r="24" spans="1:9">
      <c r="A24" s="1005"/>
      <c r="B24" s="485" t="s">
        <v>531</v>
      </c>
      <c r="C24" s="485"/>
      <c r="D24" s="485"/>
      <c r="E24" s="42"/>
      <c r="F24" s="42"/>
      <c r="G24" s="53"/>
      <c r="H24" s="53"/>
      <c r="I24" s="478"/>
    </row>
    <row r="25" spans="1:9">
      <c r="A25" s="1005"/>
      <c r="B25" s="1014" t="s">
        <v>416</v>
      </c>
      <c r="C25" s="1014"/>
      <c r="D25" s="1014"/>
      <c r="E25" s="1014"/>
      <c r="F25" s="1014"/>
      <c r="G25" s="1014"/>
      <c r="H25" s="1014"/>
      <c r="I25" s="1015"/>
    </row>
    <row r="26" spans="1:9">
      <c r="A26" s="1005"/>
      <c r="B26" s="1014"/>
      <c r="C26" s="1014"/>
      <c r="D26" s="1014"/>
      <c r="E26" s="1014"/>
      <c r="F26" s="1014"/>
      <c r="G26" s="1014"/>
      <c r="H26" s="1014"/>
      <c r="I26" s="1015"/>
    </row>
    <row r="27" spans="1:9" ht="15" thickBot="1">
      <c r="A27" s="1006"/>
      <c r="B27" s="479"/>
      <c r="C27" s="479"/>
      <c r="D27" s="479"/>
      <c r="E27" s="479"/>
      <c r="F27" s="479"/>
      <c r="G27" s="479"/>
      <c r="H27" s="479"/>
      <c r="I27" s="480"/>
    </row>
    <row r="28" spans="1:9">
      <c r="B28" s="56"/>
      <c r="C28" s="56"/>
      <c r="D28" s="56"/>
      <c r="E28" s="56"/>
      <c r="F28" s="56"/>
      <c r="G28" s="56"/>
      <c r="H28" s="56"/>
      <c r="I28" s="56"/>
    </row>
    <row r="29" spans="1:9" ht="15" thickBot="1">
      <c r="B29" s="457"/>
      <c r="C29" s="457"/>
      <c r="D29" s="457"/>
      <c r="E29" s="69"/>
      <c r="F29" s="460"/>
      <c r="G29" s="68"/>
      <c r="H29" s="68"/>
      <c r="I29" s="68"/>
    </row>
    <row r="30" spans="1:9" ht="22.05" customHeight="1" thickBot="1">
      <c r="A30" s="1004" t="s">
        <v>254</v>
      </c>
      <c r="B30" s="1002" t="s">
        <v>248</v>
      </c>
      <c r="C30" s="1002"/>
      <c r="D30" s="1002"/>
      <c r="E30" s="1002"/>
      <c r="F30" s="1002"/>
      <c r="G30" s="1002"/>
      <c r="H30" s="1002"/>
      <c r="I30" s="1003"/>
    </row>
    <row r="31" spans="1:9" ht="37.049999999999997" customHeight="1" thickBot="1">
      <c r="A31" s="1005"/>
      <c r="B31" s="999" t="s">
        <v>470</v>
      </c>
      <c r="C31" s="1000"/>
      <c r="D31" s="1000"/>
      <c r="E31" s="1000"/>
      <c r="F31" s="1000"/>
      <c r="G31" s="1000"/>
      <c r="H31" s="1000"/>
      <c r="I31" s="1001"/>
    </row>
    <row r="32" spans="1:9" ht="16.2" thickBot="1">
      <c r="A32" s="1005"/>
      <c r="B32" s="469" t="s">
        <v>262</v>
      </c>
      <c r="C32" s="469"/>
      <c r="D32" s="469"/>
      <c r="E32" s="469"/>
      <c r="F32" s="469"/>
      <c r="G32" s="1051" t="s">
        <v>57</v>
      </c>
      <c r="H32" s="1052"/>
      <c r="I32" s="1053"/>
    </row>
    <row r="33" spans="1:11">
      <c r="A33" s="1005"/>
      <c r="B33" s="470" t="s">
        <v>224</v>
      </c>
      <c r="C33" s="470"/>
      <c r="D33" s="470"/>
      <c r="E33" s="470"/>
      <c r="F33" s="470"/>
      <c r="G33" s="1054" t="s">
        <v>511</v>
      </c>
      <c r="H33" s="1055"/>
      <c r="I33" s="1056"/>
    </row>
    <row r="34" spans="1:11">
      <c r="A34" s="1005"/>
      <c r="B34" s="471" t="s">
        <v>271</v>
      </c>
      <c r="C34" s="471"/>
      <c r="D34" s="471"/>
      <c r="E34" s="471"/>
      <c r="F34" s="471"/>
      <c r="G34" s="1036" t="s">
        <v>512</v>
      </c>
      <c r="H34" s="1037"/>
      <c r="I34" s="1038"/>
    </row>
    <row r="35" spans="1:11" ht="15" thickBot="1">
      <c r="A35" s="1005"/>
      <c r="B35" s="472" t="s">
        <v>272</v>
      </c>
      <c r="C35" s="472"/>
      <c r="D35" s="472"/>
      <c r="E35" s="472"/>
      <c r="F35" s="472"/>
      <c r="G35" s="1039">
        <v>48</v>
      </c>
      <c r="H35" s="1040"/>
      <c r="I35" s="1041"/>
    </row>
    <row r="36" spans="1:11" ht="15" thickBot="1">
      <c r="A36" s="1005"/>
      <c r="B36" s="1007"/>
      <c r="C36" s="1008"/>
      <c r="D36" s="1008"/>
      <c r="E36" s="1008"/>
      <c r="F36" s="1008"/>
      <c r="G36" s="1008"/>
      <c r="H36" s="1008"/>
      <c r="I36" s="1009"/>
      <c r="J36" s="232"/>
      <c r="K36" s="232"/>
    </row>
    <row r="37" spans="1:11" ht="16.2" thickBot="1">
      <c r="A37" s="1005"/>
      <c r="B37" s="469" t="s">
        <v>515</v>
      </c>
      <c r="C37" s="469"/>
      <c r="D37" s="469"/>
      <c r="E37" s="469"/>
      <c r="F37" s="469"/>
      <c r="G37" s="1045" t="s">
        <v>57</v>
      </c>
      <c r="H37" s="1046"/>
      <c r="I37" s="1047"/>
    </row>
    <row r="38" spans="1:11">
      <c r="A38" s="1005"/>
      <c r="B38" s="940" t="s">
        <v>226</v>
      </c>
      <c r="C38" s="941"/>
      <c r="D38" s="941"/>
      <c r="E38" s="941"/>
      <c r="F38" s="941"/>
      <c r="G38" s="1048" t="s">
        <v>513</v>
      </c>
      <c r="H38" s="1049"/>
      <c r="I38" s="1050"/>
    </row>
    <row r="39" spans="1:11">
      <c r="A39" s="1005"/>
      <c r="B39" s="944" t="s">
        <v>514</v>
      </c>
      <c r="C39" s="939"/>
      <c r="D39" s="939"/>
      <c r="E39" s="939"/>
      <c r="F39" s="939"/>
      <c r="G39" s="1042">
        <v>40</v>
      </c>
      <c r="H39" s="1043"/>
      <c r="I39" s="1044"/>
    </row>
    <row r="40" spans="1:11">
      <c r="A40" s="1005"/>
      <c r="B40" s="942" t="s">
        <v>418</v>
      </c>
      <c r="C40" s="471"/>
      <c r="D40" s="471"/>
      <c r="E40" s="471"/>
      <c r="F40" s="471"/>
      <c r="G40" s="1036" t="s">
        <v>225</v>
      </c>
      <c r="H40" s="1037"/>
      <c r="I40" s="1038"/>
    </row>
    <row r="41" spans="1:11">
      <c r="A41" s="1005"/>
      <c r="B41" s="942" t="s">
        <v>436</v>
      </c>
      <c r="C41" s="471"/>
      <c r="D41" s="471"/>
      <c r="E41" s="471"/>
      <c r="F41" s="471"/>
      <c r="G41" s="1036" t="s">
        <v>414</v>
      </c>
      <c r="H41" s="1037"/>
      <c r="I41" s="1038"/>
    </row>
    <row r="42" spans="1:11" ht="15" thickBot="1">
      <c r="A42" s="1005"/>
      <c r="B42" s="943" t="s">
        <v>437</v>
      </c>
      <c r="C42" s="472"/>
      <c r="D42" s="472"/>
      <c r="E42" s="472"/>
      <c r="F42" s="472"/>
      <c r="G42" s="1039" t="s">
        <v>415</v>
      </c>
      <c r="H42" s="1040"/>
      <c r="I42" s="1041"/>
    </row>
    <row r="43" spans="1:11" ht="15" thickBot="1">
      <c r="A43" s="1005"/>
      <c r="B43" s="1007"/>
      <c r="C43" s="1008"/>
      <c r="D43" s="1008"/>
      <c r="E43" s="1008"/>
      <c r="F43" s="1008"/>
      <c r="G43" s="1008"/>
      <c r="H43" s="1008"/>
      <c r="I43" s="1009"/>
      <c r="J43" s="232"/>
      <c r="K43" s="232"/>
    </row>
    <row r="44" spans="1:11" ht="15.6">
      <c r="A44" s="1005"/>
      <c r="B44" s="458" t="s">
        <v>263</v>
      </c>
      <c r="C44" s="458"/>
      <c r="D44" s="458"/>
      <c r="E44" s="458"/>
      <c r="F44" s="458"/>
      <c r="G44" s="1030" t="s">
        <v>229</v>
      </c>
      <c r="H44" s="1031"/>
      <c r="I44" s="1032"/>
    </row>
    <row r="45" spans="1:11">
      <c r="A45" s="1005"/>
      <c r="B45" s="459" t="s">
        <v>264</v>
      </c>
      <c r="C45" s="459"/>
      <c r="D45" s="459"/>
      <c r="E45" s="459"/>
      <c r="F45" s="459"/>
      <c r="G45" s="1033"/>
      <c r="H45" s="1034"/>
      <c r="I45" s="1035"/>
    </row>
    <row r="46" spans="1:11">
      <c r="A46" s="1005"/>
      <c r="B46" s="473" t="s">
        <v>226</v>
      </c>
      <c r="C46" s="473"/>
      <c r="D46" s="473"/>
      <c r="E46" s="473"/>
      <c r="F46" s="473"/>
      <c r="G46" s="1036" t="s">
        <v>227</v>
      </c>
      <c r="H46" s="1037"/>
      <c r="I46" s="1038"/>
    </row>
    <row r="47" spans="1:11" ht="15" thickBot="1">
      <c r="A47" s="1006"/>
      <c r="B47" s="259" t="s">
        <v>438</v>
      </c>
      <c r="C47" s="259"/>
      <c r="D47" s="259"/>
      <c r="E47" s="259"/>
      <c r="F47" s="259"/>
      <c r="G47" s="1039" t="s">
        <v>228</v>
      </c>
      <c r="H47" s="1040"/>
      <c r="I47" s="1041"/>
    </row>
  </sheetData>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zoomScale="120" zoomScaleSheetLayoutView="120" workbookViewId="0">
      <selection activeCell="D100" sqref="D100"/>
    </sheetView>
  </sheetViews>
  <sheetFormatPr defaultColWidth="8.77734375" defaultRowHeight="13.8"/>
  <cols>
    <col min="1" max="4" width="13.33203125" style="2" customWidth="1"/>
    <col min="5" max="5" width="20.88671875" style="2" customWidth="1"/>
    <col min="6" max="9" width="13.33203125" style="2" customWidth="1"/>
    <col min="10" max="10" width="9.33203125" style="2" bestFit="1" customWidth="1"/>
    <col min="11" max="16384" width="8.77734375" style="2"/>
  </cols>
  <sheetData>
    <row r="1" spans="1:22" ht="22.95" customHeight="1">
      <c r="A1" s="1208" t="s">
        <v>19</v>
      </c>
      <c r="B1" s="1209"/>
      <c r="C1" s="1209"/>
      <c r="D1" s="1209"/>
      <c r="E1" s="1209"/>
      <c r="F1" s="1209"/>
      <c r="G1" s="1209"/>
      <c r="H1" s="1209"/>
      <c r="I1" s="1210"/>
      <c r="J1" s="39"/>
    </row>
    <row r="2" spans="1:22" ht="22.95" customHeight="1">
      <c r="A2" s="1222" t="s">
        <v>6</v>
      </c>
      <c r="B2" s="1223"/>
      <c r="C2" s="1223"/>
      <c r="D2" s="1223"/>
      <c r="E2" s="1223"/>
      <c r="F2" s="1223"/>
      <c r="G2" s="1223"/>
      <c r="H2" s="1223"/>
      <c r="I2" s="1224"/>
    </row>
    <row r="3" spans="1:22" ht="24" customHeight="1" thickBot="1">
      <c r="A3" s="1240" t="str">
        <f>'Forside 1'!A6:I6</f>
        <v>Gældende fra 1. november 2025</v>
      </c>
      <c r="B3" s="1241"/>
      <c r="C3" s="1241"/>
      <c r="D3" s="1241"/>
      <c r="E3" s="1241"/>
      <c r="F3" s="1241"/>
      <c r="G3" s="1241"/>
      <c r="H3" s="1241"/>
      <c r="I3" s="1242"/>
      <c r="N3" s="57"/>
      <c r="O3" s="57"/>
      <c r="P3" s="57"/>
      <c r="Q3" s="57"/>
      <c r="R3" s="57"/>
      <c r="S3" s="57"/>
      <c r="T3" s="57"/>
      <c r="U3" s="57"/>
      <c r="V3" s="57"/>
    </row>
    <row r="4" spans="1:22" ht="19.95" customHeight="1" thickBot="1">
      <c r="A4" s="41"/>
      <c r="B4" s="41"/>
      <c r="C4" s="41"/>
      <c r="D4" s="41"/>
      <c r="E4" s="41"/>
      <c r="F4" s="41"/>
      <c r="G4" s="41"/>
      <c r="H4" s="41"/>
      <c r="I4" s="41"/>
      <c r="N4" s="1239"/>
      <c r="O4" s="1239"/>
      <c r="P4" s="1239"/>
      <c r="Q4" s="1239"/>
      <c r="R4" s="1239"/>
      <c r="S4" s="1239"/>
      <c r="T4" s="1239"/>
      <c r="U4" s="1239"/>
      <c r="V4" s="1239"/>
    </row>
    <row r="5" spans="1:22" ht="19.95" customHeight="1">
      <c r="A5" s="1099" t="s">
        <v>234</v>
      </c>
      <c r="B5" s="1100"/>
      <c r="C5" s="1100"/>
      <c r="D5" s="1100"/>
      <c r="E5" s="1100"/>
      <c r="F5" s="1100"/>
      <c r="G5" s="1100"/>
      <c r="H5" s="1101"/>
      <c r="I5" s="62"/>
      <c r="N5" s="57"/>
      <c r="O5" s="57"/>
      <c r="P5" s="57"/>
      <c r="Q5" s="57"/>
      <c r="R5" s="57"/>
      <c r="S5" s="57"/>
      <c r="T5" s="57"/>
      <c r="U5" s="57"/>
      <c r="V5" s="57"/>
    </row>
    <row r="6" spans="1:22" ht="19.95" customHeight="1" thickBot="1">
      <c r="A6" s="1154" t="s">
        <v>384</v>
      </c>
      <c r="B6" s="1155"/>
      <c r="C6" s="1155"/>
      <c r="D6" s="1155"/>
      <c r="E6" s="1155"/>
      <c r="F6" s="1155"/>
      <c r="G6" s="1155"/>
      <c r="H6" s="1156"/>
      <c r="I6" s="62"/>
      <c r="N6" s="57"/>
      <c r="O6" s="57"/>
      <c r="P6" s="57"/>
      <c r="Q6" s="57"/>
      <c r="R6" s="57"/>
      <c r="S6" s="57"/>
      <c r="T6" s="57"/>
      <c r="U6" s="57"/>
      <c r="V6" s="57"/>
    </row>
    <row r="7" spans="1:22" ht="24" customHeight="1" thickBot="1">
      <c r="A7" s="1249" t="s">
        <v>91</v>
      </c>
      <c r="B7" s="1246" t="s">
        <v>0</v>
      </c>
      <c r="C7" s="1143" t="s">
        <v>4</v>
      </c>
      <c r="D7" s="1143"/>
      <c r="E7" s="1179"/>
      <c r="F7" s="1243" t="s">
        <v>5</v>
      </c>
      <c r="G7" s="1244"/>
      <c r="H7" s="1245"/>
      <c r="I7" s="63"/>
    </row>
    <row r="8" spans="1:22" ht="27.6">
      <c r="A8" s="1250"/>
      <c r="B8" s="1247"/>
      <c r="C8" s="314" t="s">
        <v>128</v>
      </c>
      <c r="D8" s="314" t="s">
        <v>306</v>
      </c>
      <c r="E8" s="314" t="s">
        <v>253</v>
      </c>
      <c r="F8" s="314" t="s">
        <v>128</v>
      </c>
      <c r="G8" s="314" t="s">
        <v>306</v>
      </c>
      <c r="H8" s="314" t="s">
        <v>253</v>
      </c>
      <c r="I8" s="50"/>
    </row>
    <row r="9" spans="1:22" ht="18" customHeight="1" thickBot="1">
      <c r="A9" s="1251"/>
      <c r="B9" s="1248"/>
      <c r="C9" s="315">
        <v>40999</v>
      </c>
      <c r="D9" s="315" t="str">
        <f>'Løntabel gældende fra'!$D$1</f>
        <v>01-11-2025</v>
      </c>
      <c r="E9" s="315" t="str">
        <f>'Løntabel gældende fra'!$D$1</f>
        <v>01-11-2025</v>
      </c>
      <c r="F9" s="316">
        <v>40999</v>
      </c>
      <c r="G9" s="315" t="str">
        <f>'Løntabel gældende fra'!$D$1</f>
        <v>01-11-2025</v>
      </c>
      <c r="H9" s="315" t="str">
        <f>'Løntabel gældende fra'!$D$1</f>
        <v>01-11-2025</v>
      </c>
      <c r="I9" s="61"/>
    </row>
    <row r="10" spans="1:22" ht="15" customHeight="1">
      <c r="A10" s="319" t="s">
        <v>1</v>
      </c>
      <c r="B10" s="320">
        <v>1</v>
      </c>
      <c r="C10" s="133">
        <v>279695</v>
      </c>
      <c r="D10" s="815">
        <f>ROUND(C10+(C10*'Løntabel gældende fra'!$D$7%),2)</f>
        <v>349374.3</v>
      </c>
      <c r="E10" s="804">
        <f>ROUND(D10/12,2)</f>
        <v>29114.53</v>
      </c>
      <c r="F10" s="133">
        <v>272188</v>
      </c>
      <c r="G10" s="134">
        <f>ROUND(F10+(F10*'Løntabel gældende fra'!$D$7%),2)</f>
        <v>339997.11</v>
      </c>
      <c r="H10" s="804">
        <f>ROUND(G10/12,2)</f>
        <v>28333.09</v>
      </c>
      <c r="I10" s="10"/>
    </row>
    <row r="11" spans="1:22" ht="15" customHeight="1">
      <c r="A11" s="321" t="s">
        <v>51</v>
      </c>
      <c r="B11" s="322">
        <v>2</v>
      </c>
      <c r="C11" s="135">
        <v>298044</v>
      </c>
      <c r="D11" s="414">
        <f>ROUND(C11+(C11*'Løntabel gældende fra'!$D$7%),2)</f>
        <v>372294.51</v>
      </c>
      <c r="E11" s="805">
        <f t="shared" ref="E11:E13" si="0">ROUND(D11/12,2)</f>
        <v>31024.54</v>
      </c>
      <c r="F11" s="135">
        <v>285295</v>
      </c>
      <c r="G11" s="137">
        <f>ROUND(F11+(F11*'Løntabel gældende fra'!$D$7%),2)</f>
        <v>356369.4</v>
      </c>
      <c r="H11" s="805">
        <f t="shared" ref="H11:H13" si="1">ROUND(G11/12,2)</f>
        <v>29697.45</v>
      </c>
      <c r="I11" s="10"/>
    </row>
    <row r="12" spans="1:22" ht="15" customHeight="1">
      <c r="A12" s="321" t="s">
        <v>2</v>
      </c>
      <c r="B12" s="322">
        <v>3</v>
      </c>
      <c r="C12" s="135">
        <v>325699</v>
      </c>
      <c r="D12" s="414">
        <f>ROUND(C12+(C12*'Løntabel gældende fra'!$D$7%),2)</f>
        <v>406839.09</v>
      </c>
      <c r="E12" s="805">
        <f t="shared" si="0"/>
        <v>33903.26</v>
      </c>
      <c r="F12" s="135">
        <v>295911</v>
      </c>
      <c r="G12" s="137">
        <f>ROUND(F12+(F12*'Løntabel gældende fra'!$D$7%),2)</f>
        <v>369630.12</v>
      </c>
      <c r="H12" s="805">
        <f t="shared" si="1"/>
        <v>30802.51</v>
      </c>
      <c r="I12" s="10"/>
    </row>
    <row r="13" spans="1:22" ht="15" customHeight="1" thickBot="1">
      <c r="A13" s="323" t="s">
        <v>3</v>
      </c>
      <c r="B13" s="324">
        <v>4</v>
      </c>
      <c r="C13" s="139">
        <v>351388</v>
      </c>
      <c r="D13" s="808">
        <f>ROUND(C13+(C13*'Løntabel gældende fra'!$D$7%),2)</f>
        <v>438927.89</v>
      </c>
      <c r="E13" s="806">
        <f t="shared" si="0"/>
        <v>36577.32</v>
      </c>
      <c r="F13" s="139">
        <v>314654</v>
      </c>
      <c r="G13" s="807">
        <f>ROUND(F13+(F13*'Løntabel gældende fra'!$D$7%),2)</f>
        <v>393042.49</v>
      </c>
      <c r="H13" s="806">
        <f t="shared" si="1"/>
        <v>32753.54</v>
      </c>
      <c r="I13" s="10"/>
    </row>
    <row r="14" spans="1:22" ht="21" customHeight="1" thickBot="1">
      <c r="A14" s="8"/>
      <c r="B14" s="8"/>
      <c r="C14" s="9"/>
      <c r="D14" s="8"/>
      <c r="E14" s="8"/>
      <c r="F14" s="9"/>
      <c r="G14" s="8"/>
      <c r="H14" s="8"/>
      <c r="I14" s="10"/>
    </row>
    <row r="15" spans="1:22" ht="19.95" customHeight="1">
      <c r="A15" s="1099" t="s">
        <v>353</v>
      </c>
      <c r="B15" s="1100"/>
      <c r="C15" s="1100"/>
      <c r="D15" s="1100"/>
      <c r="E15" s="1100"/>
      <c r="F15" s="1100"/>
      <c r="G15" s="1100"/>
      <c r="H15" s="1101"/>
      <c r="I15" s="62"/>
    </row>
    <row r="16" spans="1:22" ht="19.95" customHeight="1" thickBot="1">
      <c r="A16" s="1154" t="s">
        <v>385</v>
      </c>
      <c r="B16" s="1155"/>
      <c r="C16" s="1155"/>
      <c r="D16" s="1155"/>
      <c r="E16" s="1155"/>
      <c r="F16" s="1155"/>
      <c r="G16" s="1155"/>
      <c r="H16" s="1156"/>
      <c r="I16" s="62"/>
    </row>
    <row r="17" spans="1:9" ht="22.95" customHeight="1" thickBot="1">
      <c r="A17" s="1104" t="s">
        <v>11</v>
      </c>
      <c r="B17" s="1105"/>
      <c r="C17" s="1142" t="s">
        <v>4</v>
      </c>
      <c r="D17" s="1143"/>
      <c r="E17" s="1179"/>
      <c r="F17" s="1243" t="s">
        <v>5</v>
      </c>
      <c r="G17" s="1244"/>
      <c r="H17" s="1245"/>
      <c r="I17" s="63"/>
    </row>
    <row r="18" spans="1:9">
      <c r="A18" s="1217"/>
      <c r="B18" s="1218"/>
      <c r="C18" s="1102" t="s">
        <v>209</v>
      </c>
      <c r="D18" s="314" t="s">
        <v>95</v>
      </c>
      <c r="E18" s="314" t="s">
        <v>305</v>
      </c>
      <c r="F18" s="1102" t="s">
        <v>209</v>
      </c>
      <c r="G18" s="314" t="s">
        <v>96</v>
      </c>
      <c r="H18" s="314" t="s">
        <v>305</v>
      </c>
      <c r="I18" s="11"/>
    </row>
    <row r="19" spans="1:9" ht="14.4" thickBot="1">
      <c r="A19" s="1217"/>
      <c r="B19" s="1218"/>
      <c r="C19" s="1120"/>
      <c r="D19" s="317">
        <v>40999</v>
      </c>
      <c r="E19" s="318" t="str">
        <f>'Løntabel gældende fra'!$D$1</f>
        <v>01-11-2025</v>
      </c>
      <c r="F19" s="1120"/>
      <c r="G19" s="317">
        <v>40999</v>
      </c>
      <c r="H19" s="318" t="str">
        <f>'Løntabel gældende fra'!$D$1</f>
        <v>01-11-2025</v>
      </c>
      <c r="I19" s="64"/>
    </row>
    <row r="20" spans="1:9" ht="15" customHeight="1">
      <c r="A20" s="1217"/>
      <c r="B20" s="1219"/>
      <c r="C20" s="141" t="s">
        <v>43</v>
      </c>
      <c r="D20" s="142">
        <v>16.38</v>
      </c>
      <c r="E20" s="136">
        <f>ROUND(D20+(D20*'Løntabel gældende fra'!$D$7%),2)</f>
        <v>20.46</v>
      </c>
      <c r="F20" s="143" t="s">
        <v>47</v>
      </c>
      <c r="G20" s="144">
        <v>22.4054</v>
      </c>
      <c r="H20" s="136">
        <f>ROUND(G20+(G20*'Løntabel gældende fra'!$D$7%),2)</f>
        <v>27.99</v>
      </c>
      <c r="I20" s="45"/>
    </row>
    <row r="21" spans="1:9" ht="15" customHeight="1">
      <c r="A21" s="1217"/>
      <c r="B21" s="1219"/>
      <c r="C21" s="145" t="s">
        <v>44</v>
      </c>
      <c r="D21" s="137">
        <v>98.3</v>
      </c>
      <c r="E21" s="136">
        <f>ROUND(D21+(D21*'Løntabel gældende fra'!$D$7%),2)</f>
        <v>122.79</v>
      </c>
      <c r="F21" s="146" t="s">
        <v>48</v>
      </c>
      <c r="G21" s="147">
        <v>65.525400000000005</v>
      </c>
      <c r="H21" s="136">
        <f>ROUND(G21+(G21*'Løntabel gældende fra'!$D$7%),2)</f>
        <v>81.849999999999994</v>
      </c>
      <c r="I21" s="45"/>
    </row>
    <row r="22" spans="1:9" ht="15" customHeight="1">
      <c r="A22" s="1217"/>
      <c r="B22" s="1219"/>
      <c r="C22" s="145" t="s">
        <v>45</v>
      </c>
      <c r="D22" s="148">
        <v>131.07</v>
      </c>
      <c r="E22" s="136">
        <f>ROUND(D22+(D22*'Løntabel gældende fra'!$D$7%),2)</f>
        <v>163.72</v>
      </c>
      <c r="F22" s="146" t="s">
        <v>49</v>
      </c>
      <c r="G22" s="147">
        <v>131.07</v>
      </c>
      <c r="H22" s="136">
        <f>ROUND(G22+(G22*'Løntabel gældende fra'!$D$7%),2)</f>
        <v>163.72</v>
      </c>
      <c r="I22" s="45"/>
    </row>
    <row r="23" spans="1:9" ht="15" customHeight="1" thickBot="1">
      <c r="A23" s="1220"/>
      <c r="B23" s="1221"/>
      <c r="C23" s="149" t="s">
        <v>46</v>
      </c>
      <c r="D23" s="150">
        <v>163.83000000000001</v>
      </c>
      <c r="E23" s="140">
        <f>ROUND(D23+(D23*'Løntabel gældende fra'!$D$7%),2)</f>
        <v>204.64</v>
      </c>
      <c r="F23" s="151" t="s">
        <v>50</v>
      </c>
      <c r="G23" s="152">
        <v>163.82830000000001</v>
      </c>
      <c r="H23" s="140">
        <f>ROUND(G23+(G23*'Løntabel gældende fra'!$D$7%),2)</f>
        <v>204.64</v>
      </c>
      <c r="I23" s="45"/>
    </row>
    <row r="24" spans="1:9" s="113" customFormat="1" ht="21" customHeight="1" thickBot="1">
      <c r="A24" s="109"/>
      <c r="B24" s="109"/>
      <c r="C24" s="110"/>
      <c r="D24" s="111"/>
      <c r="E24" s="111"/>
      <c r="F24" s="110"/>
      <c r="G24" s="111"/>
      <c r="H24" s="111"/>
      <c r="I24" s="112"/>
    </row>
    <row r="25" spans="1:9" ht="19.95" customHeight="1">
      <c r="A25" s="1162" t="s">
        <v>219</v>
      </c>
      <c r="B25" s="1235"/>
      <c r="C25" s="1235"/>
      <c r="D25" s="1235"/>
      <c r="E25" s="1235"/>
      <c r="F25" s="1235"/>
      <c r="G25" s="1235"/>
      <c r="H25" s="1235"/>
      <c r="I25" s="1236"/>
    </row>
    <row r="26" spans="1:9" ht="19.95" customHeight="1" thickBot="1">
      <c r="A26" s="1089" t="str">
        <f>"Indtast det årlige timetal i de gule felter. Arket beregner derefter det månedlige undervisningstillæg pr. "&amp;'Løntabel gældende fra'!D1&amp;""</f>
        <v>Indtast det årlige timetal i de gule felter. Arket beregner derefter det månedlige undervisningstillæg pr. 01-11-2025</v>
      </c>
      <c r="B26" s="1090"/>
      <c r="C26" s="1090"/>
      <c r="D26" s="1090"/>
      <c r="E26" s="1090"/>
      <c r="F26" s="1090"/>
      <c r="G26" s="1090"/>
      <c r="H26" s="1090"/>
      <c r="I26" s="1091"/>
    </row>
    <row r="27" spans="1:9" ht="24" customHeight="1">
      <c r="A27" s="1215"/>
      <c r="B27" s="1216"/>
      <c r="C27" s="1212" t="s">
        <v>4</v>
      </c>
      <c r="D27" s="1212"/>
      <c r="E27" s="1213"/>
      <c r="F27" s="1211" t="s">
        <v>5</v>
      </c>
      <c r="G27" s="1212"/>
      <c r="H27" s="1212"/>
      <c r="I27" s="1213"/>
    </row>
    <row r="28" spans="1:9" ht="19.95" customHeight="1">
      <c r="A28" s="1227" t="s">
        <v>12</v>
      </c>
      <c r="B28" s="1228"/>
      <c r="C28" s="1229">
        <v>750</v>
      </c>
      <c r="D28" s="1230"/>
      <c r="E28" s="1231"/>
      <c r="F28" s="1229">
        <v>750</v>
      </c>
      <c r="G28" s="1230"/>
      <c r="H28" s="1230"/>
      <c r="I28" s="1231"/>
    </row>
    <row r="29" spans="1:9" ht="32.25" customHeight="1" thickBot="1">
      <c r="A29" s="1225" t="str">
        <f>"Mdr. undervisningstillæg pr. "&amp;'Løntabel gældende fra'!D1&amp;""</f>
        <v>Mdr. undervisningstillæg pr. 01-11-2025</v>
      </c>
      <c r="B29" s="1226"/>
      <c r="C29" s="1232">
        <f>ROUND(IF(C28&lt;650,C28*E20,IF(AND(C28&gt;=650,C28&lt;700),650*E20+(C28-650)*E21,IF(AND(C28&gt;=700,C28&lt;750),650*E20+50*E21+(C28-700)*E22,IF(C28&gt;=750,650*E20+50*E21+50*E22+(C28-750)*E23,))))/12,2)</f>
        <v>2302.04</v>
      </c>
      <c r="D29" s="1233" t="e">
        <f t="shared" ref="D29:H29" si="2">IF(D28&lt;750,D28*F20,IF(AND(D28&gt;=750,D28&lt;800),750*F20+(D28-750)*F21,IF(AND(D28&gt;=800,D28&lt;835),750*F20+50*F21+(D28-800)*F22,IF(D28&gt;=835,750*F20+50*F21+35*F22+(D28-835)*F23,))))</f>
        <v>#VALUE!</v>
      </c>
      <c r="E29" s="1234">
        <f t="shared" si="2"/>
        <v>0</v>
      </c>
      <c r="F29" s="1232">
        <f>IF(F28&lt;750,F28*H20,IF(AND(F28&gt;=750,F28&lt;800),750*H20+(F28-750)*H21,IF(AND(F28&gt;=800,F28&lt;835),750*H20+50*H21+(F28-800)*H22,IF(F28&gt;=835,750*H20+50*H21+35*H22+(F28-835)*H23,))))/12</f>
        <v>1749.375</v>
      </c>
      <c r="G29" s="1233">
        <f t="shared" si="2"/>
        <v>0</v>
      </c>
      <c r="H29" s="1233">
        <f t="shared" si="2"/>
        <v>0</v>
      </c>
      <c r="I29" s="1234"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19.95" customHeight="1">
      <c r="A31" s="1254" t="s">
        <v>277</v>
      </c>
      <c r="B31" s="1255"/>
      <c r="C31" s="1255"/>
      <c r="D31" s="1255"/>
      <c r="E31" s="1255"/>
      <c r="F31" s="1255"/>
      <c r="G31" s="1255"/>
      <c r="H31" s="1255"/>
      <c r="I31" s="1256"/>
    </row>
    <row r="32" spans="1:9" ht="19.95" customHeight="1">
      <c r="A32" s="1257" t="s">
        <v>220</v>
      </c>
      <c r="B32" s="1258"/>
      <c r="C32" s="1258"/>
      <c r="D32" s="1258"/>
      <c r="E32" s="1258"/>
      <c r="F32" s="1258"/>
      <c r="G32" s="1258"/>
      <c r="H32" s="1258"/>
      <c r="I32" s="1259"/>
    </row>
    <row r="33" spans="1:9" ht="19.95" customHeight="1" thickBot="1">
      <c r="A33" s="1264" t="s">
        <v>285</v>
      </c>
      <c r="B33" s="1265"/>
      <c r="C33" s="1265"/>
      <c r="D33" s="1265"/>
      <c r="E33" s="1265"/>
      <c r="F33" s="1265"/>
      <c r="G33" s="1265"/>
      <c r="H33" s="1265"/>
      <c r="I33" s="1266"/>
    </row>
    <row r="34" spans="1:9" ht="24" customHeight="1" thickBot="1">
      <c r="A34" s="1103" t="s">
        <v>99</v>
      </c>
      <c r="B34" s="1252" t="s">
        <v>4</v>
      </c>
      <c r="C34" s="1252"/>
      <c r="D34" s="1252"/>
      <c r="E34" s="1253"/>
      <c r="F34" s="1276" t="s">
        <v>5</v>
      </c>
      <c r="G34" s="1252"/>
      <c r="H34" s="1252"/>
      <c r="I34" s="1253"/>
    </row>
    <row r="35" spans="1:9" ht="24" customHeight="1" thickBot="1">
      <c r="A35" s="1120"/>
      <c r="B35" s="415" t="s">
        <v>7</v>
      </c>
      <c r="C35" s="416" t="s">
        <v>8</v>
      </c>
      <c r="D35" s="415" t="s">
        <v>10</v>
      </c>
      <c r="E35" s="417" t="s">
        <v>9</v>
      </c>
      <c r="F35" s="418" t="s">
        <v>7</v>
      </c>
      <c r="G35" s="419" t="s">
        <v>8</v>
      </c>
      <c r="H35" s="349" t="s">
        <v>10</v>
      </c>
      <c r="I35" s="420" t="s">
        <v>9</v>
      </c>
    </row>
    <row r="36" spans="1:9" ht="15" customHeight="1">
      <c r="A36" s="325">
        <v>1</v>
      </c>
      <c r="B36" s="409">
        <v>325</v>
      </c>
      <c r="C36" s="412">
        <v>575</v>
      </c>
      <c r="D36" s="409">
        <v>900</v>
      </c>
      <c r="E36" s="154">
        <v>1150</v>
      </c>
      <c r="F36" s="414">
        <v>375</v>
      </c>
      <c r="G36" s="158">
        <v>625</v>
      </c>
      <c r="H36" s="336">
        <v>1000</v>
      </c>
      <c r="I36" s="158">
        <v>1250</v>
      </c>
    </row>
    <row r="37" spans="1:9" ht="15" customHeight="1">
      <c r="A37" s="326">
        <v>2</v>
      </c>
      <c r="B37" s="410">
        <v>275</v>
      </c>
      <c r="C37" s="412">
        <v>475</v>
      </c>
      <c r="D37" s="410">
        <v>750</v>
      </c>
      <c r="E37" s="154">
        <v>950</v>
      </c>
      <c r="F37" s="334">
        <v>325</v>
      </c>
      <c r="G37" s="175">
        <v>575</v>
      </c>
      <c r="H37" s="339">
        <v>900</v>
      </c>
      <c r="I37" s="175">
        <v>1150</v>
      </c>
    </row>
    <row r="38" spans="1:9" ht="15" customHeight="1">
      <c r="A38" s="326">
        <v>3</v>
      </c>
      <c r="B38" s="410">
        <v>175</v>
      </c>
      <c r="C38" s="412">
        <v>325</v>
      </c>
      <c r="D38" s="410">
        <v>500</v>
      </c>
      <c r="E38" s="154">
        <v>625</v>
      </c>
      <c r="F38" s="334">
        <v>300</v>
      </c>
      <c r="G38" s="175">
        <v>525</v>
      </c>
      <c r="H38" s="339">
        <v>825</v>
      </c>
      <c r="I38" s="175">
        <v>1050</v>
      </c>
    </row>
    <row r="39" spans="1:9" ht="15" customHeight="1" thickBot="1">
      <c r="A39" s="327">
        <v>4</v>
      </c>
      <c r="B39" s="411">
        <v>175</v>
      </c>
      <c r="C39" s="413">
        <v>325</v>
      </c>
      <c r="D39" s="411">
        <v>500</v>
      </c>
      <c r="E39" s="155">
        <v>625</v>
      </c>
      <c r="F39" s="340">
        <v>300</v>
      </c>
      <c r="G39" s="159">
        <v>525</v>
      </c>
      <c r="H39" s="337">
        <v>825</v>
      </c>
      <c r="I39" s="159">
        <v>1050</v>
      </c>
    </row>
    <row r="40" spans="1:9" ht="24" customHeight="1" thickBot="1">
      <c r="A40" s="52"/>
      <c r="B40" s="52"/>
      <c r="C40" s="8"/>
      <c r="D40" s="8"/>
      <c r="E40" s="8"/>
      <c r="F40" s="8"/>
      <c r="G40" s="8"/>
      <c r="H40" s="8"/>
      <c r="I40" s="8"/>
    </row>
    <row r="41" spans="1:9" ht="19.95" customHeight="1">
      <c r="A41" s="1162" t="s">
        <v>278</v>
      </c>
      <c r="B41" s="1235"/>
      <c r="C41" s="1235"/>
      <c r="D41" s="1235"/>
      <c r="E41" s="1235"/>
      <c r="F41" s="1235"/>
      <c r="G41" s="1236"/>
      <c r="H41" s="58"/>
      <c r="I41" s="7"/>
    </row>
    <row r="42" spans="1:9" ht="19.95" customHeight="1" thickBot="1">
      <c r="A42" s="1089" t="s">
        <v>286</v>
      </c>
      <c r="B42" s="1090"/>
      <c r="C42" s="1090"/>
      <c r="D42" s="1090"/>
      <c r="E42" s="1090"/>
      <c r="F42" s="1090"/>
      <c r="G42" s="1091"/>
      <c r="H42" s="58"/>
      <c r="I42" s="7"/>
    </row>
    <row r="43" spans="1:9" ht="13.05" customHeight="1">
      <c r="A43" s="1102" t="s">
        <v>0</v>
      </c>
      <c r="B43" s="1142" t="s">
        <v>128</v>
      </c>
      <c r="C43" s="1179"/>
      <c r="D43" s="1142" t="s">
        <v>306</v>
      </c>
      <c r="E43" s="1143"/>
      <c r="F43" s="1142" t="s">
        <v>253</v>
      </c>
      <c r="G43" s="1179"/>
      <c r="H43" s="42"/>
      <c r="I43" s="7"/>
    </row>
    <row r="44" spans="1:9" ht="13.95" customHeight="1" thickBot="1">
      <c r="A44" s="1120"/>
      <c r="B44" s="1214">
        <f>$D$19</f>
        <v>40999</v>
      </c>
      <c r="C44" s="1180"/>
      <c r="D44" s="1214" t="str">
        <f>'Løntabel gældende fra'!$D$1</f>
        <v>01-11-2025</v>
      </c>
      <c r="E44" s="1145"/>
      <c r="F44" s="1214" t="str">
        <f>'Løntabel gældende fra'!$D$1</f>
        <v>01-11-2025</v>
      </c>
      <c r="G44" s="1180"/>
      <c r="H44" s="42"/>
      <c r="I44" s="7"/>
    </row>
    <row r="45" spans="1:9" ht="15" customHeight="1">
      <c r="A45" s="325">
        <v>1</v>
      </c>
      <c r="B45" s="1165">
        <v>5200</v>
      </c>
      <c r="C45" s="1165"/>
      <c r="D45" s="1171">
        <f>ROUND(B45+(B45*'Løntabel gældende fra'!$D$7%),2)</f>
        <v>6495.46</v>
      </c>
      <c r="E45" s="1172"/>
      <c r="F45" s="1122">
        <f>ROUND(D45/12,2)</f>
        <v>541.29</v>
      </c>
      <c r="G45" s="1123"/>
      <c r="H45" s="10"/>
      <c r="I45" s="7"/>
    </row>
    <row r="46" spans="1:9" ht="15" customHeight="1">
      <c r="A46" s="326">
        <v>2</v>
      </c>
      <c r="B46" s="1082">
        <v>7900</v>
      </c>
      <c r="C46" s="1082"/>
      <c r="D46" s="1284">
        <f>ROUND(B46+(B46*'Løntabel gældende fra'!$D$7%),2)</f>
        <v>9868.1</v>
      </c>
      <c r="E46" s="1166"/>
      <c r="F46" s="1083">
        <f>ROUND(D46/12,2)</f>
        <v>822.34</v>
      </c>
      <c r="G46" s="1084"/>
      <c r="H46" s="10"/>
      <c r="I46" s="7"/>
    </row>
    <row r="47" spans="1:9" ht="15" customHeight="1" thickBot="1">
      <c r="A47" s="327">
        <v>3</v>
      </c>
      <c r="B47" s="1131">
        <v>7900</v>
      </c>
      <c r="C47" s="1131"/>
      <c r="D47" s="1283">
        <f>ROUND(B47+(B47*'Løntabel gældende fra'!$D$7%),2)</f>
        <v>9868.1</v>
      </c>
      <c r="E47" s="1167"/>
      <c r="F47" s="1132">
        <f>ROUND(D47/12,2)</f>
        <v>822.34</v>
      </c>
      <c r="G47" s="1133"/>
      <c r="H47" s="10"/>
      <c r="I47" s="7"/>
    </row>
    <row r="48" spans="1:9" s="57" customFormat="1" ht="24" customHeight="1" thickBot="1">
      <c r="A48" s="42"/>
      <c r="B48" s="54"/>
      <c r="C48" s="42"/>
      <c r="D48" s="55"/>
      <c r="E48" s="42"/>
      <c r="F48" s="55"/>
      <c r="G48" s="42"/>
      <c r="H48" s="42"/>
      <c r="I48" s="56"/>
    </row>
    <row r="49" spans="1:17" ht="19.95" customHeight="1">
      <c r="A49" s="1162" t="s">
        <v>380</v>
      </c>
      <c r="B49" s="1163"/>
      <c r="C49" s="1163"/>
      <c r="D49" s="1163"/>
      <c r="E49" s="1163"/>
      <c r="F49" s="1163"/>
      <c r="G49" s="1164"/>
      <c r="H49" s="59"/>
      <c r="K49" s="16"/>
      <c r="L49" s="16"/>
      <c r="M49" s="16"/>
      <c r="N49" s="16"/>
      <c r="O49" s="16"/>
      <c r="P49" s="16"/>
      <c r="Q49" s="16"/>
    </row>
    <row r="50" spans="1:17" ht="19.95" customHeight="1" thickBot="1">
      <c r="A50" s="1089" t="s">
        <v>287</v>
      </c>
      <c r="B50" s="1090"/>
      <c r="C50" s="1090"/>
      <c r="D50" s="1090"/>
      <c r="E50" s="1090"/>
      <c r="F50" s="1090"/>
      <c r="G50" s="1091"/>
      <c r="H50" s="59"/>
      <c r="K50" s="16"/>
      <c r="L50" s="16"/>
      <c r="M50" s="16"/>
      <c r="N50" s="16"/>
      <c r="O50" s="16"/>
      <c r="P50" s="16"/>
      <c r="Q50" s="16"/>
    </row>
    <row r="51" spans="1:17" ht="16.05" customHeight="1">
      <c r="A51" s="1102" t="s">
        <v>0</v>
      </c>
      <c r="B51" s="1085" t="s">
        <v>128</v>
      </c>
      <c r="C51" s="1086"/>
      <c r="D51" s="1085" t="s">
        <v>306</v>
      </c>
      <c r="E51" s="1086"/>
      <c r="F51" s="1085" t="s">
        <v>253</v>
      </c>
      <c r="G51" s="1086"/>
      <c r="H51" s="42"/>
      <c r="K51" s="16"/>
      <c r="L51" s="16"/>
      <c r="M51" s="16"/>
      <c r="N51" s="16"/>
      <c r="O51" s="16"/>
      <c r="P51" s="16"/>
      <c r="Q51" s="16"/>
    </row>
    <row r="52" spans="1:17" ht="16.05" customHeight="1" thickBot="1">
      <c r="A52" s="1103"/>
      <c r="B52" s="1087">
        <f>C9</f>
        <v>40999</v>
      </c>
      <c r="C52" s="1088"/>
      <c r="D52" s="1263" t="str">
        <f>'Løntabel gældende fra'!D1</f>
        <v>01-11-2025</v>
      </c>
      <c r="E52" s="1088"/>
      <c r="F52" s="1263" t="str">
        <f>'Løntabel gældende fra'!D1</f>
        <v>01-11-2025</v>
      </c>
      <c r="G52" s="1088"/>
      <c r="H52" s="42"/>
      <c r="K52" s="16"/>
      <c r="L52" s="16"/>
      <c r="M52" s="16"/>
      <c r="N52" s="16"/>
      <c r="O52" s="16"/>
      <c r="P52" s="16"/>
      <c r="Q52" s="16"/>
    </row>
    <row r="53" spans="1:17" ht="15" customHeight="1">
      <c r="A53" s="325">
        <v>1</v>
      </c>
      <c r="B53" s="1173">
        <v>2800</v>
      </c>
      <c r="C53" s="1173"/>
      <c r="D53" s="1160">
        <f>ROUND(B53+(B53*'Løntabel gældende fra'!$D$7%),2)</f>
        <v>3497.55</v>
      </c>
      <c r="E53" s="1161"/>
      <c r="F53" s="1171">
        <f>ROUND(D53/12,2)</f>
        <v>291.45999999999998</v>
      </c>
      <c r="G53" s="1172"/>
      <c r="H53" s="10"/>
      <c r="K53" s="16"/>
      <c r="L53" s="16"/>
      <c r="M53" s="16"/>
      <c r="N53" s="16"/>
      <c r="O53" s="16"/>
      <c r="P53" s="16"/>
      <c r="Q53" s="16"/>
    </row>
    <row r="54" spans="1:17" ht="15" customHeight="1">
      <c r="A54" s="326">
        <v>2</v>
      </c>
      <c r="B54" s="1082">
        <v>2800</v>
      </c>
      <c r="C54" s="1082"/>
      <c r="D54" s="1083">
        <f>ROUND(B54+(B54*'Løntabel gældende fra'!$D$7%),2)</f>
        <v>3497.55</v>
      </c>
      <c r="E54" s="1084"/>
      <c r="F54" s="1174">
        <f t="shared" ref="F54:F56" si="3">ROUND(D54/12,2)</f>
        <v>291.45999999999998</v>
      </c>
      <c r="G54" s="1175"/>
      <c r="H54" s="10"/>
      <c r="K54" s="16"/>
      <c r="L54" s="16"/>
      <c r="M54" s="16"/>
      <c r="N54" s="16"/>
      <c r="O54" s="16"/>
      <c r="P54" s="16"/>
      <c r="Q54" s="16"/>
    </row>
    <row r="55" spans="1:17" ht="15" customHeight="1">
      <c r="A55" s="328">
        <v>3</v>
      </c>
      <c r="B55" s="1082">
        <v>2800</v>
      </c>
      <c r="C55" s="1082"/>
      <c r="D55" s="1083">
        <f>ROUND(B55+(B55*'Løntabel gældende fra'!$D$7%),2)</f>
        <v>3497.55</v>
      </c>
      <c r="E55" s="1084"/>
      <c r="F55" s="1174">
        <f t="shared" si="3"/>
        <v>291.45999999999998</v>
      </c>
      <c r="G55" s="1175"/>
      <c r="H55" s="10"/>
      <c r="K55" s="16"/>
      <c r="L55" s="16"/>
      <c r="M55" s="16"/>
      <c r="N55" s="16"/>
      <c r="O55" s="16"/>
      <c r="P55" s="16"/>
      <c r="Q55" s="16"/>
    </row>
    <row r="56" spans="1:17" ht="15" customHeight="1" thickBot="1">
      <c r="A56" s="327">
        <v>4</v>
      </c>
      <c r="B56" s="1131">
        <v>2800</v>
      </c>
      <c r="C56" s="1131"/>
      <c r="D56" s="1132">
        <f>ROUND(B56+(B56*'Løntabel gældende fra'!$D$7%),2)</f>
        <v>3497.55</v>
      </c>
      <c r="E56" s="1133"/>
      <c r="F56" s="1283">
        <f t="shared" si="3"/>
        <v>291.45999999999998</v>
      </c>
      <c r="G56" s="1167"/>
      <c r="H56" s="10"/>
      <c r="K56" s="16"/>
      <c r="L56" s="16"/>
      <c r="M56" s="16"/>
      <c r="N56" s="16"/>
      <c r="O56" s="16"/>
      <c r="P56" s="16"/>
      <c r="Q56" s="16"/>
    </row>
    <row r="57" spans="1:17" ht="25.05" customHeight="1" thickBot="1">
      <c r="A57" s="42"/>
      <c r="B57" s="8"/>
      <c r="C57" s="8"/>
      <c r="D57" s="8"/>
      <c r="E57" s="8"/>
      <c r="F57" s="44"/>
      <c r="G57" s="44"/>
      <c r="H57" s="44"/>
      <c r="K57" s="16"/>
      <c r="L57" s="16"/>
      <c r="M57" s="16"/>
      <c r="N57" s="16"/>
      <c r="O57" s="16"/>
      <c r="P57" s="16"/>
      <c r="Q57" s="16"/>
    </row>
    <row r="58" spans="1:17" ht="19.95" customHeight="1">
      <c r="A58" s="1162" t="s">
        <v>529</v>
      </c>
      <c r="B58" s="1163"/>
      <c r="C58" s="1163"/>
      <c r="D58" s="1163"/>
      <c r="E58" s="1163"/>
      <c r="F58" s="1163"/>
      <c r="G58" s="1164"/>
      <c r="H58" s="59"/>
      <c r="K58" s="16"/>
      <c r="L58" s="16"/>
      <c r="M58" s="16"/>
      <c r="N58" s="16"/>
      <c r="O58" s="16"/>
      <c r="P58" s="16"/>
      <c r="Q58" s="16"/>
    </row>
    <row r="59" spans="1:17" ht="19.95" customHeight="1" thickBot="1">
      <c r="A59" s="1089" t="s">
        <v>287</v>
      </c>
      <c r="B59" s="1090"/>
      <c r="C59" s="1090"/>
      <c r="D59" s="1090"/>
      <c r="E59" s="1090"/>
      <c r="F59" s="1090"/>
      <c r="G59" s="1091"/>
      <c r="H59" s="59"/>
      <c r="K59" s="16"/>
      <c r="L59" s="16"/>
      <c r="M59" s="16"/>
      <c r="N59" s="16"/>
      <c r="O59" s="16"/>
      <c r="P59" s="16"/>
      <c r="Q59" s="16"/>
    </row>
    <row r="60" spans="1:17" ht="16.05" customHeight="1">
      <c r="A60" s="1102" t="s">
        <v>0</v>
      </c>
      <c r="B60" s="1085" t="s">
        <v>128</v>
      </c>
      <c r="C60" s="1086"/>
      <c r="D60" s="1085" t="s">
        <v>306</v>
      </c>
      <c r="E60" s="1086"/>
      <c r="F60" s="1085" t="s">
        <v>253</v>
      </c>
      <c r="G60" s="1086"/>
      <c r="H60" s="42"/>
      <c r="K60" s="16"/>
      <c r="L60" s="16"/>
      <c r="M60" s="16"/>
      <c r="N60" s="16"/>
      <c r="O60" s="16"/>
      <c r="P60" s="16"/>
      <c r="Q60" s="16"/>
    </row>
    <row r="61" spans="1:17" ht="16.05" customHeight="1" thickBot="1">
      <c r="A61" s="1103"/>
      <c r="B61" s="1087">
        <f>B52</f>
        <v>40999</v>
      </c>
      <c r="C61" s="1088"/>
      <c r="D61" s="1263" t="str">
        <f>'Løntabel gældende fra'!D1</f>
        <v>01-11-2025</v>
      </c>
      <c r="E61" s="1088"/>
      <c r="F61" s="1263" t="str">
        <f>'Løntabel gældende fra'!D1</f>
        <v>01-11-2025</v>
      </c>
      <c r="G61" s="1088"/>
      <c r="H61" s="42"/>
      <c r="K61" s="16"/>
      <c r="L61" s="16"/>
      <c r="M61" s="16"/>
      <c r="N61" s="16"/>
      <c r="O61" s="16"/>
      <c r="P61" s="16"/>
      <c r="Q61" s="16"/>
    </row>
    <row r="62" spans="1:17" ht="15" customHeight="1">
      <c r="A62" s="325">
        <v>1</v>
      </c>
      <c r="B62" s="1173">
        <v>4100</v>
      </c>
      <c r="C62" s="1173"/>
      <c r="D62" s="1160">
        <f>ROUND(B62+(B62*'Løntabel gældende fra'!$D$7%),2)</f>
        <v>5121.42</v>
      </c>
      <c r="E62" s="1161"/>
      <c r="F62" s="1173">
        <f>ROUND(D62/12,2)</f>
        <v>426.79</v>
      </c>
      <c r="G62" s="1172"/>
      <c r="H62" s="10"/>
      <c r="K62" s="16"/>
      <c r="L62" s="16"/>
      <c r="M62" s="16"/>
      <c r="N62" s="16"/>
      <c r="O62" s="16"/>
      <c r="P62" s="16"/>
      <c r="Q62" s="16"/>
    </row>
    <row r="63" spans="1:17" ht="15" customHeight="1">
      <c r="A63" s="326">
        <v>2</v>
      </c>
      <c r="B63" s="1082">
        <v>4100</v>
      </c>
      <c r="C63" s="1082"/>
      <c r="D63" s="1083">
        <f>ROUND(B63+(B63*'Løntabel gældende fra'!$D$7%),2)</f>
        <v>5121.42</v>
      </c>
      <c r="E63" s="1084"/>
      <c r="F63" s="1165">
        <f>ROUND(D63/12,2)</f>
        <v>426.79</v>
      </c>
      <c r="G63" s="1166"/>
      <c r="H63" s="10"/>
      <c r="K63" s="16"/>
      <c r="L63" s="16"/>
      <c r="M63" s="16"/>
      <c r="N63" s="16"/>
      <c r="O63" s="16"/>
      <c r="P63" s="16"/>
      <c r="Q63" s="16"/>
    </row>
    <row r="64" spans="1:17" ht="15" customHeight="1">
      <c r="A64" s="328">
        <v>3</v>
      </c>
      <c r="B64" s="1082">
        <v>4100</v>
      </c>
      <c r="C64" s="1082"/>
      <c r="D64" s="1083">
        <f>ROUND(B64+(B64*'Løntabel gældende fra'!$D$7%),2)</f>
        <v>5121.42</v>
      </c>
      <c r="E64" s="1084"/>
      <c r="F64" s="1165">
        <f>ROUND(D64/12,2)</f>
        <v>426.79</v>
      </c>
      <c r="G64" s="1166"/>
      <c r="H64" s="10"/>
      <c r="K64" s="16"/>
      <c r="L64" s="16"/>
      <c r="M64" s="16"/>
      <c r="N64" s="16"/>
      <c r="O64" s="16"/>
      <c r="P64" s="16"/>
      <c r="Q64" s="16"/>
    </row>
    <row r="65" spans="1:17" ht="15" customHeight="1" thickBot="1">
      <c r="A65" s="327">
        <v>4</v>
      </c>
      <c r="B65" s="1131">
        <v>4100</v>
      </c>
      <c r="C65" s="1131"/>
      <c r="D65" s="1132">
        <f>ROUND(B65+(B65*'Løntabel gældende fra'!$D$7%),2)</f>
        <v>5121.42</v>
      </c>
      <c r="E65" s="1133"/>
      <c r="F65" s="1131">
        <f>ROUND(D65/12,2)</f>
        <v>426.79</v>
      </c>
      <c r="G65" s="1167"/>
      <c r="H65" s="10"/>
      <c r="K65" s="16"/>
      <c r="L65" s="16"/>
      <c r="M65" s="16"/>
      <c r="N65" s="16"/>
      <c r="O65" s="16"/>
      <c r="P65" s="16"/>
      <c r="Q65" s="16"/>
    </row>
    <row r="66" spans="1:17" ht="25.05" customHeight="1" thickBot="1">
      <c r="A66" s="42"/>
      <c r="B66" s="8"/>
      <c r="C66" s="8"/>
      <c r="D66" s="8"/>
      <c r="E66" s="8"/>
      <c r="F66" s="44"/>
      <c r="G66" s="44"/>
      <c r="H66" s="44"/>
      <c r="K66" s="16"/>
      <c r="L66" s="16"/>
      <c r="M66" s="16"/>
      <c r="N66" s="16"/>
      <c r="O66" s="16"/>
      <c r="P66" s="16"/>
      <c r="Q66" s="16"/>
    </row>
    <row r="67" spans="1:17" ht="19.95" customHeight="1">
      <c r="A67" s="1099" t="s">
        <v>279</v>
      </c>
      <c r="B67" s="1100"/>
      <c r="C67" s="1100"/>
      <c r="D67" s="1100"/>
      <c r="E67" s="1100"/>
      <c r="F67" s="1100"/>
      <c r="G67" s="1100"/>
      <c r="H67" s="1100"/>
      <c r="I67" s="1101"/>
    </row>
    <row r="68" spans="1:17" ht="19.95" customHeight="1" thickBot="1">
      <c r="A68" s="1154" t="s">
        <v>288</v>
      </c>
      <c r="B68" s="1155"/>
      <c r="C68" s="1155"/>
      <c r="D68" s="1155"/>
      <c r="E68" s="1155"/>
      <c r="F68" s="1155"/>
      <c r="G68" s="1155"/>
      <c r="H68" s="1155"/>
      <c r="I68" s="1156"/>
    </row>
    <row r="69" spans="1:17" ht="28.05" customHeight="1">
      <c r="A69" s="1125" t="s">
        <v>267</v>
      </c>
      <c r="B69" s="1126"/>
      <c r="C69" s="1126"/>
      <c r="D69" s="1126"/>
      <c r="E69" s="1126"/>
      <c r="F69" s="1127"/>
      <c r="G69" s="308" t="s">
        <v>128</v>
      </c>
      <c r="H69" s="308" t="s">
        <v>98</v>
      </c>
      <c r="I69" s="567" t="s">
        <v>253</v>
      </c>
    </row>
    <row r="70" spans="1:17" ht="15" customHeight="1" thickBot="1">
      <c r="A70" s="1125"/>
      <c r="B70" s="1126"/>
      <c r="C70" s="1126"/>
      <c r="D70" s="1126"/>
      <c r="E70" s="1126"/>
      <c r="F70" s="1127"/>
      <c r="G70" s="309">
        <f>C9</f>
        <v>40999</v>
      </c>
      <c r="H70" s="309">
        <f>C9</f>
        <v>40999</v>
      </c>
      <c r="I70" s="309" t="str">
        <f>'Løntabel gældende fra'!$D$1</f>
        <v>01-11-2025</v>
      </c>
    </row>
    <row r="71" spans="1:17" ht="15" customHeight="1" thickBot="1">
      <c r="A71" s="1128"/>
      <c r="B71" s="1129"/>
      <c r="C71" s="1129"/>
      <c r="D71" s="1129"/>
      <c r="E71" s="1129"/>
      <c r="F71" s="1130"/>
      <c r="G71" s="156">
        <v>19300</v>
      </c>
      <c r="H71" s="160">
        <f>ROUND(G71/12,2)</f>
        <v>1608.33</v>
      </c>
      <c r="I71" s="899">
        <f>ROUND(H71+(H71*'Løntabel gældende fra'!$D$7%),2)</f>
        <v>2009.01</v>
      </c>
    </row>
    <row r="72" spans="1:17" ht="24" customHeight="1" thickBot="1">
      <c r="A72" s="7"/>
      <c r="B72" s="7"/>
      <c r="C72" s="7" t="s">
        <v>16</v>
      </c>
      <c r="D72" s="7"/>
      <c r="E72" s="7"/>
      <c r="F72" s="7"/>
      <c r="G72" s="7"/>
      <c r="H72" s="7"/>
      <c r="I72" s="7"/>
    </row>
    <row r="73" spans="1:17" ht="19.95" customHeight="1">
      <c r="A73" s="1099" t="s">
        <v>281</v>
      </c>
      <c r="B73" s="1100"/>
      <c r="C73" s="1100"/>
      <c r="D73" s="1100"/>
      <c r="E73" s="1100"/>
      <c r="F73" s="1100"/>
      <c r="G73" s="1100"/>
      <c r="H73" s="1100"/>
      <c r="I73" s="1101"/>
    </row>
    <row r="74" spans="1:17" ht="19.95" customHeight="1" thickBot="1">
      <c r="A74" s="1154" t="s">
        <v>280</v>
      </c>
      <c r="B74" s="1155"/>
      <c r="C74" s="1155"/>
      <c r="D74" s="1155"/>
      <c r="E74" s="1155"/>
      <c r="F74" s="1155"/>
      <c r="G74" s="1155"/>
      <c r="H74" s="1155"/>
      <c r="I74" s="1156"/>
    </row>
    <row r="75" spans="1:17" ht="28.05" customHeight="1">
      <c r="A75" s="1277" t="s">
        <v>393</v>
      </c>
      <c r="B75" s="1278"/>
      <c r="C75" s="1278"/>
      <c r="D75" s="1278"/>
      <c r="E75" s="1278"/>
      <c r="F75" s="1278"/>
      <c r="G75" s="1279"/>
      <c r="H75" s="392" t="s">
        <v>307</v>
      </c>
      <c r="I75" s="314" t="s">
        <v>308</v>
      </c>
    </row>
    <row r="76" spans="1:17" ht="34.049999999999997" customHeight="1" thickBot="1">
      <c r="A76" s="1280"/>
      <c r="B76" s="1281"/>
      <c r="C76" s="1281"/>
      <c r="D76" s="1281"/>
      <c r="E76" s="1281"/>
      <c r="F76" s="1281"/>
      <c r="G76" s="1282"/>
      <c r="H76" s="309">
        <f>C9</f>
        <v>40999</v>
      </c>
      <c r="I76" s="309" t="str">
        <f>'Løntabel gældende fra'!$D$1</f>
        <v>01-11-2025</v>
      </c>
    </row>
    <row r="77" spans="1:17" ht="15" customHeight="1" thickBot="1">
      <c r="A77" s="1237" t="s">
        <v>14</v>
      </c>
      <c r="B77" s="1238"/>
      <c r="C77" s="1238"/>
      <c r="D77" s="1238"/>
      <c r="E77" s="1238"/>
      <c r="F77" s="1238"/>
      <c r="G77" s="1238"/>
      <c r="H77" s="160">
        <v>19</v>
      </c>
      <c r="I77" s="161">
        <f>ROUND(H77+H77*'Løntabel gældende fra'!$D$7%,2)</f>
        <v>23.73</v>
      </c>
    </row>
    <row r="78" spans="1:17" ht="24" customHeight="1" thickBot="1">
      <c r="A78" s="7"/>
      <c r="B78" s="7"/>
      <c r="C78" s="7"/>
      <c r="D78" s="7"/>
      <c r="E78" s="7"/>
      <c r="F78" s="7"/>
      <c r="G78" s="7"/>
      <c r="H78" s="7"/>
      <c r="I78" s="7"/>
    </row>
    <row r="79" spans="1:17" ht="19.95" customHeight="1">
      <c r="A79" s="1099" t="s">
        <v>459</v>
      </c>
      <c r="B79" s="1100"/>
      <c r="C79" s="1100"/>
      <c r="D79" s="1100"/>
      <c r="E79" s="1100"/>
      <c r="F79" s="1100"/>
      <c r="G79" s="1100"/>
      <c r="H79" s="1100"/>
      <c r="I79" s="1101"/>
    </row>
    <row r="80" spans="1:17" ht="19.95" customHeight="1" thickBot="1">
      <c r="A80" s="1154" t="s">
        <v>457</v>
      </c>
      <c r="B80" s="1155"/>
      <c r="C80" s="1155"/>
      <c r="D80" s="1155"/>
      <c r="E80" s="1155"/>
      <c r="F80" s="1155"/>
      <c r="G80" s="1155"/>
      <c r="H80" s="1155"/>
      <c r="I80" s="1156"/>
    </row>
    <row r="81" spans="1:22" ht="31.05" customHeight="1">
      <c r="A81" s="1191" t="s">
        <v>460</v>
      </c>
      <c r="B81" s="1192"/>
      <c r="C81" s="1192"/>
      <c r="D81" s="1192"/>
      <c r="E81" s="1192"/>
      <c r="F81" s="1192"/>
      <c r="G81" s="1193"/>
      <c r="H81" s="308" t="s">
        <v>307</v>
      </c>
      <c r="I81" s="567" t="s">
        <v>308</v>
      </c>
    </row>
    <row r="82" spans="1:22" ht="15" customHeight="1" thickBot="1">
      <c r="A82" s="1194"/>
      <c r="B82" s="1195"/>
      <c r="C82" s="1195"/>
      <c r="D82" s="1195"/>
      <c r="E82" s="1195"/>
      <c r="F82" s="1195"/>
      <c r="G82" s="1196"/>
      <c r="H82" s="309">
        <f>H76</f>
        <v>40999</v>
      </c>
      <c r="I82" s="309" t="str">
        <f>'Løntabel gældende fra'!$D$1</f>
        <v>01-11-2025</v>
      </c>
    </row>
    <row r="83" spans="1:22" ht="15" customHeight="1" thickBot="1">
      <c r="A83" s="1197" t="s">
        <v>458</v>
      </c>
      <c r="B83" s="1198"/>
      <c r="C83" s="1198"/>
      <c r="D83" s="1198"/>
      <c r="E83" s="1198"/>
      <c r="F83" s="1198"/>
      <c r="G83" s="1199"/>
      <c r="H83" s="156">
        <v>267.31</v>
      </c>
      <c r="I83" s="157">
        <f>ROUND(H83+(H83*'Løntabel gældende fra'!$D$7%),2)</f>
        <v>333.9</v>
      </c>
    </row>
    <row r="84" spans="1:22" ht="15" customHeight="1" thickBot="1">
      <c r="A84" s="1188"/>
      <c r="B84" s="1189"/>
      <c r="C84" s="1189"/>
      <c r="D84" s="1189"/>
      <c r="E84" s="1189"/>
      <c r="F84" s="1189"/>
      <c r="G84" s="1189"/>
      <c r="H84" s="1189"/>
      <c r="I84" s="1190"/>
    </row>
    <row r="85" spans="1:22" ht="28.05" customHeight="1">
      <c r="A85" s="1099" t="s">
        <v>282</v>
      </c>
      <c r="B85" s="1100"/>
      <c r="C85" s="1100"/>
      <c r="D85" s="1100"/>
      <c r="E85" s="1100"/>
      <c r="F85" s="1100"/>
      <c r="G85" s="1100"/>
      <c r="H85" s="1100"/>
      <c r="I85" s="1101"/>
    </row>
    <row r="86" spans="1:22" ht="25.05" customHeight="1" thickBot="1">
      <c r="A86" s="1154" t="s">
        <v>280</v>
      </c>
      <c r="B86" s="1155"/>
      <c r="C86" s="1155"/>
      <c r="D86" s="1155"/>
      <c r="E86" s="1155"/>
      <c r="F86" s="1155"/>
      <c r="G86" s="1155"/>
      <c r="H86" s="1155"/>
      <c r="I86" s="1156"/>
      <c r="K86" s="16"/>
      <c r="L86" s="16"/>
      <c r="M86" s="16"/>
      <c r="N86" s="16"/>
      <c r="O86" s="16"/>
      <c r="P86" s="16"/>
      <c r="Q86" s="16"/>
    </row>
    <row r="87" spans="1:22" ht="27.75" customHeight="1">
      <c r="A87" s="1267"/>
      <c r="B87" s="1268"/>
      <c r="C87" s="1268"/>
      <c r="D87" s="1268"/>
      <c r="E87" s="1268"/>
      <c r="F87" s="1268"/>
      <c r="G87" s="1269"/>
      <c r="H87" s="310" t="s">
        <v>95</v>
      </c>
      <c r="I87" s="311" t="s">
        <v>100</v>
      </c>
      <c r="K87" s="16"/>
      <c r="L87" s="16"/>
      <c r="M87" s="16"/>
      <c r="N87" s="16"/>
      <c r="O87" s="16"/>
      <c r="P87" s="16"/>
      <c r="Q87" s="16"/>
    </row>
    <row r="88" spans="1:22" ht="16.5" customHeight="1" thickBot="1">
      <c r="A88" s="1270"/>
      <c r="B88" s="1271"/>
      <c r="C88" s="1271"/>
      <c r="D88" s="1271"/>
      <c r="E88" s="1271"/>
      <c r="F88" s="1271"/>
      <c r="G88" s="1272"/>
      <c r="H88" s="312">
        <f>C9</f>
        <v>40999</v>
      </c>
      <c r="I88" s="309" t="str">
        <f>'Løntabel gældende fra'!$D$1</f>
        <v>01-11-2025</v>
      </c>
      <c r="K88" s="16"/>
      <c r="L88" s="16"/>
      <c r="M88" s="16"/>
      <c r="N88" s="16"/>
      <c r="O88" s="16"/>
      <c r="P88" s="16"/>
      <c r="Q88" s="16"/>
    </row>
    <row r="89" spans="1:22" customFormat="1" ht="24" customHeight="1">
      <c r="A89" s="1273" t="s">
        <v>18</v>
      </c>
      <c r="B89" s="1274"/>
      <c r="C89" s="1274"/>
      <c r="D89" s="1274"/>
      <c r="E89" s="1274"/>
      <c r="F89" s="1274"/>
      <c r="G89" s="1275"/>
      <c r="H89" s="193">
        <v>6.59</v>
      </c>
      <c r="I89" s="193">
        <f>ROUND(H89+H89*'Løntabel gældende fra'!$D$7%,2)</f>
        <v>8.23</v>
      </c>
    </row>
    <row r="90" spans="1:22" customFormat="1" ht="24" customHeight="1">
      <c r="A90" s="1185" t="s">
        <v>17</v>
      </c>
      <c r="B90" s="1186"/>
      <c r="C90" s="1186"/>
      <c r="D90" s="1186"/>
      <c r="E90" s="1186"/>
      <c r="F90" s="1186"/>
      <c r="G90" s="1187"/>
      <c r="H90" s="900">
        <v>61.22</v>
      </c>
      <c r="I90" s="900">
        <f>ROUND(H90+H90*'Løntabel gældende fra'!$D$7%,2)</f>
        <v>76.47</v>
      </c>
    </row>
    <row r="91" spans="1:22" customFormat="1" ht="24" customHeight="1">
      <c r="A91" s="1185" t="s">
        <v>473</v>
      </c>
      <c r="B91" s="1186"/>
      <c r="C91" s="1186"/>
      <c r="D91" s="1186"/>
      <c r="E91" s="1186"/>
      <c r="F91" s="1186"/>
      <c r="G91" s="1187"/>
      <c r="H91" s="900">
        <v>163.63999999999999</v>
      </c>
      <c r="I91" s="900">
        <f>ROUND(H91+H91*'Løntabel gældende fra'!$D$7%,2)</f>
        <v>204.41</v>
      </c>
    </row>
    <row r="92" spans="1:22" customFormat="1" ht="31.8" customHeight="1" thickBot="1">
      <c r="A92" s="1182" t="s">
        <v>474</v>
      </c>
      <c r="B92" s="1183"/>
      <c r="C92" s="1183"/>
      <c r="D92" s="1183"/>
      <c r="E92" s="1183"/>
      <c r="F92" s="1183"/>
      <c r="G92" s="1184"/>
      <c r="H92" s="194">
        <v>372.2</v>
      </c>
      <c r="I92" s="194">
        <f>ROUND(H92+H92*'Løntabel gældende fra'!$D$7%,2)</f>
        <v>464.92</v>
      </c>
    </row>
    <row r="93" spans="1:22" s="504" customFormat="1" ht="46.95" customHeight="1" thickBot="1">
      <c r="A93" s="1096" t="s">
        <v>461</v>
      </c>
      <c r="B93" s="1097"/>
      <c r="C93" s="1097"/>
      <c r="D93" s="1097"/>
      <c r="E93" s="1097"/>
      <c r="F93" s="1097"/>
      <c r="G93" s="1097"/>
      <c r="H93" s="1097"/>
      <c r="I93" s="1098"/>
      <c r="J93" s="505"/>
      <c r="K93" s="505"/>
      <c r="L93" s="505"/>
      <c r="M93" s="505"/>
      <c r="N93" s="505"/>
      <c r="O93" s="505"/>
      <c r="P93" s="505"/>
      <c r="Q93" s="505"/>
      <c r="R93" s="505"/>
      <c r="S93" s="505"/>
      <c r="T93" s="505"/>
      <c r="U93" s="505"/>
      <c r="V93" s="505"/>
    </row>
    <row r="94" spans="1:22" customFormat="1" ht="34.049999999999997" customHeight="1" thickBot="1">
      <c r="A94" s="1096" t="s">
        <v>462</v>
      </c>
      <c r="B94" s="1097"/>
      <c r="C94" s="1097"/>
      <c r="D94" s="1097"/>
      <c r="E94" s="1097"/>
      <c r="F94" s="1097"/>
      <c r="G94" s="1097"/>
      <c r="H94" s="1097"/>
      <c r="I94" s="1098"/>
    </row>
    <row r="95" spans="1:22" customFormat="1" ht="15" customHeight="1" thickBot="1">
      <c r="A95" s="67"/>
      <c r="B95" s="67"/>
      <c r="C95" s="67"/>
      <c r="D95" s="67"/>
      <c r="E95" s="67"/>
      <c r="F95" s="67"/>
      <c r="G95" s="67"/>
      <c r="H95" s="67"/>
      <c r="I95" s="67"/>
    </row>
    <row r="96" spans="1:22" customFormat="1" ht="24" customHeight="1" thickBot="1">
      <c r="A96" s="1108" t="s">
        <v>66</v>
      </c>
      <c r="B96" s="1109"/>
      <c r="C96" s="1109"/>
      <c r="D96" s="1109"/>
      <c r="E96" s="1109"/>
      <c r="F96" s="1109"/>
      <c r="G96" s="1178"/>
      <c r="H96" s="58"/>
    </row>
    <row r="97" spans="1:22" s="504" customFormat="1" ht="24" customHeight="1" thickBot="1">
      <c r="A97" s="1202" t="s">
        <v>67</v>
      </c>
      <c r="B97" s="1203"/>
      <c r="C97" s="1204"/>
      <c r="D97" s="1262">
        <v>40999</v>
      </c>
      <c r="E97" s="1176"/>
      <c r="F97" s="1176" t="str">
        <f>'Løntabel gældende fra'!$D$1</f>
        <v>01-11-2025</v>
      </c>
      <c r="G97" s="1177"/>
      <c r="H97" s="60"/>
      <c r="I97"/>
      <c r="J97" s="505"/>
      <c r="K97" s="505"/>
      <c r="L97" s="505"/>
      <c r="M97" s="505"/>
      <c r="N97" s="505"/>
      <c r="O97" s="505"/>
      <c r="P97" s="505"/>
      <c r="Q97" s="505"/>
      <c r="R97" s="505"/>
      <c r="S97" s="505"/>
      <c r="T97" s="505"/>
      <c r="U97" s="505"/>
      <c r="V97" s="505"/>
    </row>
    <row r="98" spans="1:22" customFormat="1" ht="15" customHeight="1" thickBot="1">
      <c r="A98" s="1205"/>
      <c r="B98" s="1206"/>
      <c r="C98" s="1207"/>
      <c r="D98" s="1134" t="s">
        <v>283</v>
      </c>
      <c r="E98" s="1135"/>
      <c r="F98" s="1134" t="s">
        <v>283</v>
      </c>
      <c r="G98" s="1135"/>
      <c r="H98" s="505"/>
      <c r="I98" s="505"/>
    </row>
    <row r="99" spans="1:22" customFormat="1" ht="15" customHeight="1">
      <c r="A99" s="162" t="s">
        <v>68</v>
      </c>
      <c r="B99" s="163"/>
      <c r="C99" s="164"/>
      <c r="D99" s="165">
        <v>236</v>
      </c>
      <c r="E99" s="165">
        <v>334</v>
      </c>
      <c r="F99" s="506">
        <f>ROUND(D99+D99*'Løntabel gældende fra'!$D$7%,2)</f>
        <v>294.79000000000002</v>
      </c>
      <c r="G99" s="507">
        <f>ROUND(E99+E99*'Løntabel gældende fra'!$D$7%,2)</f>
        <v>417.21</v>
      </c>
      <c r="H99" s="53"/>
    </row>
    <row r="100" spans="1:22" ht="16.2" customHeight="1" thickBot="1">
      <c r="A100" s="117" t="s">
        <v>70</v>
      </c>
      <c r="B100" s="118"/>
      <c r="C100" s="166"/>
      <c r="D100" s="167">
        <v>170</v>
      </c>
      <c r="E100" s="167">
        <v>269</v>
      </c>
      <c r="F100" s="168">
        <f>ROUND(D100+D100*'Løntabel gældende fra'!$D$7%,2)</f>
        <v>212.35</v>
      </c>
      <c r="G100" s="169">
        <f>ROUND(E100+E100*'Løntabel gældende fra'!$D$7%,2)</f>
        <v>336.01</v>
      </c>
      <c r="H100" s="53"/>
      <c r="I100"/>
    </row>
    <row r="101" spans="1:22" customFormat="1" ht="24" customHeight="1" thickBot="1">
      <c r="A101" s="1142" t="s">
        <v>69</v>
      </c>
      <c r="B101" s="1143"/>
      <c r="C101" s="1179"/>
      <c r="D101" s="1200">
        <f>D97</f>
        <v>40999</v>
      </c>
      <c r="E101" s="1201"/>
      <c r="F101" s="1181" t="str">
        <f>'Løntabel gældende fra'!$D$1</f>
        <v>01-11-2025</v>
      </c>
      <c r="G101" s="1177"/>
      <c r="H101" s="60"/>
    </row>
    <row r="102" spans="1:22" customFormat="1" ht="15" thickBot="1">
      <c r="A102" s="1144"/>
      <c r="B102" s="1145"/>
      <c r="C102" s="1180"/>
      <c r="D102" s="1134" t="s">
        <v>283</v>
      </c>
      <c r="E102" s="1135"/>
      <c r="F102" s="1134" t="s">
        <v>283</v>
      </c>
      <c r="G102" s="1135"/>
      <c r="H102" s="505"/>
      <c r="I102" s="505"/>
    </row>
    <row r="103" spans="1:22" customFormat="1" ht="14.4">
      <c r="A103" s="162" t="s">
        <v>68</v>
      </c>
      <c r="B103" s="163"/>
      <c r="C103" s="164"/>
      <c r="D103" s="165">
        <v>203</v>
      </c>
      <c r="E103" s="165">
        <v>334</v>
      </c>
      <c r="F103" s="170">
        <f>ROUND(D103+D103*'Løntabel gældende fra'!$D$7%,2)</f>
        <v>253.57</v>
      </c>
      <c r="G103" s="171">
        <f>ROUND(E103+E103*'Løntabel gældende fra'!$D$7%,2)</f>
        <v>417.21</v>
      </c>
      <c r="H103" s="53"/>
    </row>
    <row r="104" spans="1:22" customFormat="1" ht="19.2" customHeight="1" thickBot="1">
      <c r="A104" s="497" t="s">
        <v>70</v>
      </c>
      <c r="B104" s="498"/>
      <c r="C104" s="499"/>
      <c r="D104" s="975">
        <v>138</v>
      </c>
      <c r="E104" s="975">
        <v>269</v>
      </c>
      <c r="F104" s="172">
        <f>ROUND(D104+D104*'Løntabel gældende fra'!$D$7%,2)</f>
        <v>172.38</v>
      </c>
      <c r="G104" s="173">
        <f>ROUND(E104+E104*'Løntabel gældende fra'!$D$7%,2)</f>
        <v>336.01</v>
      </c>
      <c r="H104" s="53"/>
    </row>
    <row r="105" spans="1:22" customFormat="1" ht="15" thickBot="1">
      <c r="A105" s="7"/>
      <c r="B105" s="7"/>
      <c r="C105" s="7"/>
      <c r="D105" s="7"/>
      <c r="E105" s="7"/>
      <c r="F105" s="7"/>
      <c r="G105" s="7"/>
      <c r="H105" s="7"/>
      <c r="I105" s="7"/>
    </row>
    <row r="106" spans="1:22" customFormat="1" ht="17.399999999999999">
      <c r="A106" s="1099" t="s">
        <v>557</v>
      </c>
      <c r="B106" s="1100"/>
      <c r="C106" s="1100"/>
      <c r="D106" s="1100"/>
      <c r="E106" s="1100"/>
      <c r="F106" s="1100"/>
      <c r="G106" s="1100"/>
      <c r="H106" s="1100"/>
      <c r="I106" s="1101"/>
    </row>
    <row r="107" spans="1:22" customFormat="1" ht="15">
      <c r="A107" s="1057" t="s">
        <v>543</v>
      </c>
      <c r="B107" s="1058"/>
      <c r="C107" s="1058"/>
      <c r="D107" s="1058"/>
      <c r="E107" s="1058"/>
      <c r="F107" s="1058"/>
      <c r="G107" s="1058"/>
      <c r="H107" s="1058"/>
      <c r="I107" s="1059"/>
    </row>
    <row r="108" spans="1:22" customFormat="1" ht="15.6" thickBot="1">
      <c r="A108" s="1154" t="s">
        <v>288</v>
      </c>
      <c r="B108" s="1155"/>
      <c r="C108" s="1155"/>
      <c r="D108" s="1155"/>
      <c r="E108" s="1155"/>
      <c r="F108" s="1155"/>
      <c r="G108" s="1155"/>
      <c r="H108" s="1155"/>
      <c r="I108" s="1156"/>
    </row>
    <row r="109" spans="1:22" ht="28.95" customHeight="1" thickBot="1">
      <c r="A109" s="1060" t="s">
        <v>540</v>
      </c>
      <c r="B109" s="1061"/>
      <c r="C109" s="1061"/>
      <c r="D109" s="1061"/>
      <c r="E109" s="1062"/>
      <c r="F109" s="1063">
        <v>40999</v>
      </c>
      <c r="G109" s="1064"/>
      <c r="H109" s="1065" t="str">
        <f>'Løntabel gældende fra'!$D$1</f>
        <v>01-11-2025</v>
      </c>
      <c r="I109" s="1066"/>
      <c r="J109"/>
      <c r="K109"/>
    </row>
    <row r="110" spans="1:22" ht="28.95" customHeight="1">
      <c r="A110" s="1081" t="s">
        <v>545</v>
      </c>
      <c r="B110" s="1068"/>
      <c r="C110" s="1068"/>
      <c r="D110" s="1068"/>
      <c r="E110" s="1069"/>
      <c r="F110" s="1070">
        <v>4600</v>
      </c>
      <c r="G110" s="1071"/>
      <c r="H110" s="1072">
        <f>ROUND(F110+F110*'Løntabel gældende fra'!$D$7%,2)</f>
        <v>5745.98</v>
      </c>
      <c r="I110" s="1073"/>
      <c r="J110"/>
      <c r="K110"/>
    </row>
    <row r="111" spans="1:22" ht="20.25" customHeight="1" thickBot="1">
      <c r="A111" s="1074" t="s">
        <v>544</v>
      </c>
      <c r="B111" s="1075"/>
      <c r="C111" s="1075"/>
      <c r="D111" s="1075"/>
      <c r="E111" s="1076"/>
      <c r="F111" s="1077">
        <v>500</v>
      </c>
      <c r="G111" s="1078"/>
      <c r="H111" s="1079">
        <f>ROUND(F111+F111*'Løntabel gældende fra'!$D$7%,2)</f>
        <v>624.55999999999995</v>
      </c>
      <c r="I111" s="1080"/>
      <c r="J111"/>
      <c r="K111"/>
    </row>
    <row r="112" spans="1:22" ht="24.6" customHeight="1" thickBot="1">
      <c r="A112" s="1157" t="s">
        <v>537</v>
      </c>
      <c r="B112" s="1158"/>
      <c r="C112" s="1158"/>
      <c r="D112" s="1158"/>
      <c r="E112" s="1159"/>
      <c r="F112" s="1260">
        <v>700</v>
      </c>
      <c r="G112" s="1261"/>
      <c r="H112" s="1146">
        <f>ROUND(F112+F112*'Løntabel gældende fra'!$D$7%,2)</f>
        <v>874.39</v>
      </c>
      <c r="I112" s="1147"/>
      <c r="J112"/>
      <c r="K112"/>
    </row>
    <row r="113" spans="1:15" ht="25.95" customHeight="1" thickBot="1">
      <c r="A113" s="1060" t="s">
        <v>541</v>
      </c>
      <c r="B113" s="1061"/>
      <c r="C113" s="1061"/>
      <c r="D113" s="1061"/>
      <c r="E113" s="1062"/>
      <c r="F113" s="1063">
        <v>40999</v>
      </c>
      <c r="G113" s="1064"/>
      <c r="H113" s="1065" t="str">
        <f>'Løntabel gældende fra'!$D$1</f>
        <v>01-11-2025</v>
      </c>
      <c r="I113" s="1066"/>
      <c r="J113"/>
      <c r="K113"/>
    </row>
    <row r="114" spans="1:15" ht="12" customHeight="1">
      <c r="A114" s="1067" t="s">
        <v>535</v>
      </c>
      <c r="B114" s="1068"/>
      <c r="C114" s="1068"/>
      <c r="D114" s="1068"/>
      <c r="E114" s="1069"/>
      <c r="F114" s="1070">
        <v>5600</v>
      </c>
      <c r="G114" s="1071"/>
      <c r="H114" s="1072">
        <f>ROUND(F114+F114*'Løntabel gældende fra'!$D$7%,2)</f>
        <v>6995.11</v>
      </c>
      <c r="I114" s="1073"/>
      <c r="J114"/>
      <c r="K114"/>
    </row>
    <row r="115" spans="1:15" ht="20.25" customHeight="1" thickBot="1">
      <c r="A115" s="1074" t="s">
        <v>536</v>
      </c>
      <c r="B115" s="1075"/>
      <c r="C115" s="1075"/>
      <c r="D115" s="1075"/>
      <c r="E115" s="1076"/>
      <c r="F115" s="1077">
        <v>900</v>
      </c>
      <c r="G115" s="1078"/>
      <c r="H115" s="1079">
        <f>ROUND(F115+F115*'Løntabel gældende fra'!$D$7%,2)</f>
        <v>1124.21</v>
      </c>
      <c r="I115" s="1080"/>
      <c r="J115"/>
      <c r="K115"/>
    </row>
    <row r="116" spans="1:15" ht="15" customHeight="1" thickBot="1">
      <c r="A116" s="1060" t="s">
        <v>542</v>
      </c>
      <c r="B116" s="1061"/>
      <c r="C116" s="1061"/>
      <c r="D116" s="1061"/>
      <c r="E116" s="1062"/>
      <c r="F116" s="1063">
        <v>40999</v>
      </c>
      <c r="G116" s="1064"/>
      <c r="H116" s="1065" t="str">
        <f>'Løntabel gældende fra'!$D$1</f>
        <v>01-11-2025</v>
      </c>
      <c r="I116" s="1066"/>
      <c r="J116"/>
      <c r="K116"/>
    </row>
    <row r="117" spans="1:15" ht="12" customHeight="1" thickBot="1">
      <c r="A117" s="1110" t="s">
        <v>539</v>
      </c>
      <c r="B117" s="1111"/>
      <c r="C117" s="1111"/>
      <c r="D117" s="1111"/>
      <c r="E117" s="1112"/>
      <c r="F117" s="1113">
        <v>150</v>
      </c>
      <c r="G117" s="1114"/>
      <c r="H117" s="1115">
        <f>ROUND(F117+F117*'Løntabel gældende fra'!$D$7%,2)</f>
        <v>187.37</v>
      </c>
      <c r="I117" s="1116"/>
      <c r="J117"/>
      <c r="K117"/>
    </row>
    <row r="118" spans="1:15" ht="18" customHeight="1" thickBot="1">
      <c r="A118" s="1117" t="s">
        <v>538</v>
      </c>
      <c r="B118" s="1118"/>
      <c r="C118" s="1118"/>
      <c r="D118" s="1118"/>
      <c r="E118" s="1118"/>
      <c r="F118" s="1118"/>
      <c r="G118" s="1118"/>
      <c r="H118" s="1118"/>
      <c r="I118" s="1119"/>
      <c r="J118"/>
      <c r="K118"/>
    </row>
    <row r="119" spans="1:15" ht="16.05" customHeight="1" thickBot="1">
      <c r="A119" s="92"/>
      <c r="B119" s="7"/>
      <c r="C119" s="7"/>
      <c r="D119" s="7"/>
      <c r="E119" s="7"/>
      <c r="F119" s="53"/>
      <c r="G119" s="53"/>
      <c r="H119" s="7"/>
      <c r="I119" s="7"/>
      <c r="J119" s="3"/>
      <c r="K119" s="3"/>
      <c r="L119" s="3"/>
      <c r="M119" s="4"/>
      <c r="N119" s="4"/>
      <c r="O119" s="4"/>
    </row>
    <row r="120" spans="1:15" ht="21">
      <c r="A120" s="1151" t="s">
        <v>87</v>
      </c>
      <c r="B120" s="1152"/>
      <c r="C120" s="1152"/>
      <c r="D120" s="1152"/>
      <c r="E120" s="1152"/>
      <c r="F120" s="1152"/>
      <c r="G120" s="1152"/>
      <c r="H120" s="1152"/>
      <c r="I120" s="1153"/>
    </row>
    <row r="121" spans="1:15" ht="21.6" thickBot="1">
      <c r="A121" s="1168" t="str">
        <f>'Løntabel gældende fra'!$D$1</f>
        <v>01-11-2025</v>
      </c>
      <c r="B121" s="1169"/>
      <c r="C121" s="1169"/>
      <c r="D121" s="1169"/>
      <c r="E121" s="1169"/>
      <c r="F121" s="1169"/>
      <c r="G121" s="1169"/>
      <c r="H121" s="1169"/>
      <c r="I121" s="1170"/>
    </row>
    <row r="122" spans="1:15" ht="18" thickBot="1">
      <c r="A122" s="1108" t="s">
        <v>85</v>
      </c>
      <c r="B122" s="1109"/>
      <c r="C122" s="1109"/>
      <c r="D122" s="1109"/>
      <c r="E122" s="1109"/>
      <c r="F122" s="1100"/>
      <c r="G122" s="1100"/>
      <c r="H122" s="1100"/>
      <c r="I122" s="1101"/>
    </row>
    <row r="123" spans="1:15" ht="15" customHeight="1">
      <c r="A123" s="1095" t="s">
        <v>0</v>
      </c>
      <c r="B123" s="1142" t="s">
        <v>20</v>
      </c>
      <c r="C123" s="1143"/>
      <c r="D123" s="1143"/>
      <c r="E123" s="1143"/>
      <c r="F123" s="1106" t="s">
        <v>372</v>
      </c>
      <c r="G123" s="1107"/>
      <c r="H123" s="1140">
        <v>0.17299999999999999</v>
      </c>
      <c r="I123" s="1141"/>
    </row>
    <row r="124" spans="1:15" ht="18" customHeight="1" thickBot="1">
      <c r="A124" s="1095"/>
      <c r="B124" s="1144"/>
      <c r="C124" s="1145"/>
      <c r="D124" s="1145"/>
      <c r="E124" s="1145"/>
      <c r="F124" s="1148" t="s">
        <v>379</v>
      </c>
      <c r="G124" s="1149"/>
      <c r="H124" s="1149"/>
      <c r="I124" s="1150"/>
    </row>
    <row r="125" spans="1:15" ht="18" customHeight="1">
      <c r="A125" s="153">
        <v>1</v>
      </c>
      <c r="B125" s="1171">
        <f>H10</f>
        <v>28333.09</v>
      </c>
      <c r="C125" s="1173"/>
      <c r="D125" s="1173"/>
      <c r="E125" s="1172"/>
      <c r="F125" s="1171">
        <f>ROUND(B125*$H$123,2)</f>
        <v>4901.62</v>
      </c>
      <c r="G125" s="1173"/>
      <c r="H125" s="1173"/>
      <c r="I125" s="1172"/>
    </row>
    <row r="126" spans="1:15" ht="13.95" customHeight="1">
      <c r="A126" s="88">
        <v>2</v>
      </c>
      <c r="B126" s="1174">
        <f>H11</f>
        <v>29697.45</v>
      </c>
      <c r="C126" s="1082"/>
      <c r="D126" s="1082"/>
      <c r="E126" s="1175"/>
      <c r="F126" s="1174">
        <f>ROUND(B126*$H$123,2)</f>
        <v>5137.66</v>
      </c>
      <c r="G126" s="1082"/>
      <c r="H126" s="1082"/>
      <c r="I126" s="1175"/>
    </row>
    <row r="127" spans="1:15" ht="15" customHeight="1">
      <c r="A127" s="88">
        <v>3</v>
      </c>
      <c r="B127" s="1174">
        <f>H12</f>
        <v>30802.51</v>
      </c>
      <c r="C127" s="1082"/>
      <c r="D127" s="1082"/>
      <c r="E127" s="1175"/>
      <c r="F127" s="1174">
        <f>ROUND(B127*$H$123,2)</f>
        <v>5328.83</v>
      </c>
      <c r="G127" s="1082"/>
      <c r="H127" s="1082"/>
      <c r="I127" s="1175"/>
    </row>
    <row r="128" spans="1:15" ht="14.4" thickBot="1">
      <c r="A128" s="89">
        <v>4</v>
      </c>
      <c r="B128" s="1283">
        <f>H13</f>
        <v>32753.54</v>
      </c>
      <c r="C128" s="1131"/>
      <c r="D128" s="1131"/>
      <c r="E128" s="1167"/>
      <c r="F128" s="1283">
        <f>ROUND(B128*$H$123,2)</f>
        <v>5666.36</v>
      </c>
      <c r="G128" s="1131"/>
      <c r="H128" s="1131"/>
      <c r="I128" s="1167"/>
      <c r="J128" s="39"/>
    </row>
    <row r="129" spans="1:9" ht="18" thickBot="1">
      <c r="A129" s="1099" t="s">
        <v>86</v>
      </c>
      <c r="B129" s="1100"/>
      <c r="C129" s="1100"/>
      <c r="D129" s="1100"/>
      <c r="E129" s="1100"/>
      <c r="F129" s="1100"/>
      <c r="G129" s="1100"/>
      <c r="H129" s="1100"/>
      <c r="I129" s="1101"/>
    </row>
    <row r="130" spans="1:9">
      <c r="A130" s="1094" t="s">
        <v>0</v>
      </c>
      <c r="B130" s="1102" t="s">
        <v>133</v>
      </c>
      <c r="C130" s="1142" t="s">
        <v>23</v>
      </c>
      <c r="D130" s="1143"/>
      <c r="E130" s="1143"/>
      <c r="F130" s="1142" t="s">
        <v>24</v>
      </c>
      <c r="G130" s="1143"/>
      <c r="H130" s="1104" t="s">
        <v>90</v>
      </c>
      <c r="I130" s="1105"/>
    </row>
    <row r="131" spans="1:9" ht="14.4" thickBot="1">
      <c r="A131" s="1095"/>
      <c r="B131" s="1103"/>
      <c r="C131" s="1092">
        <f>B52</f>
        <v>40999</v>
      </c>
      <c r="D131" s="1093"/>
      <c r="E131" s="1093"/>
      <c r="F131" s="1092" t="str">
        <f>'Løntabel gældende fra'!$D$1</f>
        <v>01-11-2025</v>
      </c>
      <c r="G131" s="1093"/>
      <c r="H131" s="1217"/>
      <c r="I131" s="1219"/>
    </row>
    <row r="132" spans="1:9" ht="14.4" thickBot="1">
      <c r="A132" s="1095"/>
      <c r="B132" s="1103"/>
      <c r="C132" s="1104" t="s">
        <v>83</v>
      </c>
      <c r="D132" s="1105"/>
      <c r="E132" s="567" t="s">
        <v>84</v>
      </c>
      <c r="F132" s="567" t="s">
        <v>83</v>
      </c>
      <c r="G132" s="615" t="s">
        <v>84</v>
      </c>
      <c r="H132" s="1296">
        <v>0.15</v>
      </c>
      <c r="I132" s="1297"/>
    </row>
    <row r="133" spans="1:9">
      <c r="A133" s="132">
        <v>1</v>
      </c>
      <c r="B133" s="345">
        <v>21</v>
      </c>
      <c r="C133" s="1160">
        <f>+'Statens skalatrin'!N66</f>
        <v>241583.32</v>
      </c>
      <c r="D133" s="1161"/>
      <c r="E133" s="158">
        <f t="shared" ref="E133:E146" si="4">ROUND(C133/12,2)</f>
        <v>20131.939999999999</v>
      </c>
      <c r="F133" s="203">
        <f>ROUND(C133*(1+'Løntabel gældende fra'!$D$7/100),0)</f>
        <v>301768</v>
      </c>
      <c r="G133" s="158">
        <f>ROUND(F133/12,2)</f>
        <v>25147.33</v>
      </c>
      <c r="H133" s="1122">
        <f>ROUND(G133*$H$132,2)</f>
        <v>3772.1</v>
      </c>
      <c r="I133" s="1123"/>
    </row>
    <row r="134" spans="1:9">
      <c r="A134" s="616">
        <v>1</v>
      </c>
      <c r="B134" s="617">
        <v>23</v>
      </c>
      <c r="C134" s="1083">
        <f>+'Statens skalatrin'!N72</f>
        <v>250472.55</v>
      </c>
      <c r="D134" s="1084"/>
      <c r="E134" s="175">
        <f t="shared" si="4"/>
        <v>20872.71</v>
      </c>
      <c r="F134" s="204">
        <f>ROUND(C134*(1+'Løntabel gældende fra'!$D$7/100),0)</f>
        <v>312872</v>
      </c>
      <c r="G134" s="175">
        <f t="shared" ref="G134:G144" si="5">ROUND(F134/12,2)</f>
        <v>26072.67</v>
      </c>
      <c r="H134" s="1122">
        <f t="shared" ref="H134:H146" si="6">ROUND(G134*$H$132,2)</f>
        <v>3910.9</v>
      </c>
      <c r="I134" s="1123"/>
    </row>
    <row r="135" spans="1:9">
      <c r="A135" s="616">
        <v>2</v>
      </c>
      <c r="B135" s="617">
        <v>25</v>
      </c>
      <c r="C135" s="1083">
        <f>+'Statens skalatrin'!N78</f>
        <v>259721.7</v>
      </c>
      <c r="D135" s="1084"/>
      <c r="E135" s="175">
        <f t="shared" si="4"/>
        <v>21643.48</v>
      </c>
      <c r="F135" s="204">
        <f>ROUND(C135*(1+'Løntabel gældende fra'!$D$7/100),0)</f>
        <v>324425</v>
      </c>
      <c r="G135" s="175">
        <f t="shared" si="5"/>
        <v>27035.42</v>
      </c>
      <c r="H135" s="1122">
        <f t="shared" si="6"/>
        <v>4055.31</v>
      </c>
      <c r="I135" s="1123"/>
    </row>
    <row r="136" spans="1:9">
      <c r="A136" s="616">
        <v>2</v>
      </c>
      <c r="B136" s="617">
        <v>27</v>
      </c>
      <c r="C136" s="1083">
        <f>+'Statens skalatrin'!N84</f>
        <v>269459.90000000002</v>
      </c>
      <c r="D136" s="1084"/>
      <c r="E136" s="175">
        <f t="shared" si="4"/>
        <v>22454.99</v>
      </c>
      <c r="F136" s="204">
        <f>ROUND(C136*(1+'Løntabel gældende fra'!$D$7/100),0)</f>
        <v>336589</v>
      </c>
      <c r="G136" s="175">
        <f t="shared" si="5"/>
        <v>28049.08</v>
      </c>
      <c r="H136" s="1122">
        <f t="shared" si="6"/>
        <v>4207.3599999999997</v>
      </c>
      <c r="I136" s="1123"/>
    </row>
    <row r="137" spans="1:9">
      <c r="A137" s="616">
        <v>3</v>
      </c>
      <c r="B137" s="617">
        <v>28</v>
      </c>
      <c r="C137" s="1083">
        <f>+'Statens skalatrin'!N87</f>
        <v>274522.23</v>
      </c>
      <c r="D137" s="1084"/>
      <c r="E137" s="175">
        <f t="shared" si="4"/>
        <v>22876.85</v>
      </c>
      <c r="F137" s="204">
        <f>ROUND(C137*(1+'Løntabel gældende fra'!$D$7/100),0)</f>
        <v>342913</v>
      </c>
      <c r="G137" s="175">
        <f t="shared" si="5"/>
        <v>28576.080000000002</v>
      </c>
      <c r="H137" s="1122">
        <f t="shared" si="6"/>
        <v>4286.41</v>
      </c>
      <c r="I137" s="1123"/>
    </row>
    <row r="138" spans="1:9">
      <c r="A138" s="616">
        <v>3</v>
      </c>
      <c r="B138" s="617">
        <v>29</v>
      </c>
      <c r="C138" s="1083">
        <f>+'Statens skalatrin'!N90</f>
        <v>279714.99</v>
      </c>
      <c r="D138" s="1084"/>
      <c r="E138" s="175">
        <f t="shared" si="4"/>
        <v>23309.58</v>
      </c>
      <c r="F138" s="204">
        <f>ROUND(C138*(1+'Løntabel gældende fra'!$D$7/100),0)</f>
        <v>349399</v>
      </c>
      <c r="G138" s="175">
        <f t="shared" si="5"/>
        <v>29116.58</v>
      </c>
      <c r="H138" s="1122">
        <f t="shared" si="6"/>
        <v>4367.49</v>
      </c>
      <c r="I138" s="1123"/>
    </row>
    <row r="139" spans="1:9">
      <c r="A139" s="616">
        <v>3</v>
      </c>
      <c r="B139" s="617">
        <v>30</v>
      </c>
      <c r="C139" s="1083">
        <f>+'Statens skalatrin'!N93</f>
        <v>285044.74</v>
      </c>
      <c r="D139" s="1084"/>
      <c r="E139" s="175">
        <f t="shared" si="4"/>
        <v>23753.73</v>
      </c>
      <c r="F139" s="204">
        <f>ROUND(C139*(1+'Løntabel gældende fra'!$D$7/100),0)</f>
        <v>356057</v>
      </c>
      <c r="G139" s="175">
        <f t="shared" si="5"/>
        <v>29671.42</v>
      </c>
      <c r="H139" s="1122">
        <f t="shared" si="6"/>
        <v>4450.71</v>
      </c>
      <c r="I139" s="1123"/>
    </row>
    <row r="140" spans="1:9">
      <c r="A140" s="616">
        <v>3</v>
      </c>
      <c r="B140" s="617">
        <v>31</v>
      </c>
      <c r="C140" s="1083">
        <f>+'Statens skalatrin'!N96</f>
        <v>290512.64000000001</v>
      </c>
      <c r="D140" s="1084"/>
      <c r="E140" s="175">
        <f t="shared" si="4"/>
        <v>24209.39</v>
      </c>
      <c r="F140" s="204">
        <f>ROUND(C140*(1+'Løntabel gældende fra'!$D$7/100),0)</f>
        <v>362887</v>
      </c>
      <c r="G140" s="175">
        <f t="shared" si="5"/>
        <v>30240.58</v>
      </c>
      <c r="H140" s="1122">
        <f t="shared" si="6"/>
        <v>4536.09</v>
      </c>
      <c r="I140" s="1123"/>
    </row>
    <row r="141" spans="1:9" ht="15" customHeight="1">
      <c r="A141" s="616">
        <v>28</v>
      </c>
      <c r="B141" s="617">
        <v>28</v>
      </c>
      <c r="C141" s="1083">
        <f>+C137</f>
        <v>274522.23</v>
      </c>
      <c r="D141" s="1084"/>
      <c r="E141" s="175">
        <f t="shared" si="4"/>
        <v>22876.85</v>
      </c>
      <c r="F141" s="204">
        <f>ROUND(C141*(1+'Løntabel gældende fra'!$D$7/100),0)</f>
        <v>342913</v>
      </c>
      <c r="G141" s="175">
        <f t="shared" si="5"/>
        <v>28576.080000000002</v>
      </c>
      <c r="H141" s="1122">
        <f t="shared" si="6"/>
        <v>4286.41</v>
      </c>
      <c r="I141" s="1123"/>
    </row>
    <row r="142" spans="1:9" ht="15" customHeight="1">
      <c r="A142" s="616">
        <v>29</v>
      </c>
      <c r="B142" s="617">
        <v>29</v>
      </c>
      <c r="C142" s="1083">
        <f>+C138</f>
        <v>279714.99</v>
      </c>
      <c r="D142" s="1084"/>
      <c r="E142" s="175">
        <f t="shared" si="4"/>
        <v>23309.58</v>
      </c>
      <c r="F142" s="204">
        <f>ROUND(C142*(1+'Løntabel gældende fra'!$D$7/100),0)</f>
        <v>349399</v>
      </c>
      <c r="G142" s="175">
        <f t="shared" si="5"/>
        <v>29116.58</v>
      </c>
      <c r="H142" s="1122">
        <f t="shared" si="6"/>
        <v>4367.49</v>
      </c>
      <c r="I142" s="1123"/>
    </row>
    <row r="143" spans="1:9" ht="17.25" customHeight="1">
      <c r="A143" s="616">
        <v>30</v>
      </c>
      <c r="B143" s="617">
        <v>30</v>
      </c>
      <c r="C143" s="1083">
        <f>+C139</f>
        <v>285044.74</v>
      </c>
      <c r="D143" s="1084"/>
      <c r="E143" s="175">
        <f t="shared" si="4"/>
        <v>23753.73</v>
      </c>
      <c r="F143" s="204">
        <f>ROUND(C143*(1+'Løntabel gældende fra'!$D$7/100),0)</f>
        <v>356057</v>
      </c>
      <c r="G143" s="175">
        <f t="shared" si="5"/>
        <v>29671.42</v>
      </c>
      <c r="H143" s="1122">
        <f t="shared" si="6"/>
        <v>4450.71</v>
      </c>
      <c r="I143" s="1123"/>
    </row>
    <row r="144" spans="1:9" ht="14.25" customHeight="1">
      <c r="A144" s="616">
        <v>31</v>
      </c>
      <c r="B144" s="617">
        <v>31</v>
      </c>
      <c r="C144" s="1083">
        <f>+C140</f>
        <v>290512.64000000001</v>
      </c>
      <c r="D144" s="1084"/>
      <c r="E144" s="175">
        <f t="shared" si="4"/>
        <v>24209.39</v>
      </c>
      <c r="F144" s="204">
        <f>ROUND(C144*(1+'Løntabel gældende fra'!$D$7/100),0)</f>
        <v>362887</v>
      </c>
      <c r="G144" s="175">
        <f t="shared" si="5"/>
        <v>30240.58</v>
      </c>
      <c r="H144" s="1122">
        <f t="shared" si="6"/>
        <v>4536.09</v>
      </c>
      <c r="I144" s="1123"/>
    </row>
    <row r="145" spans="1:10">
      <c r="A145" s="616">
        <v>32</v>
      </c>
      <c r="B145" s="617">
        <v>32</v>
      </c>
      <c r="C145" s="1083">
        <f>+'Statens skalatrin'!N99</f>
        <v>296125.21000000002</v>
      </c>
      <c r="D145" s="1084"/>
      <c r="E145" s="175">
        <f t="shared" si="4"/>
        <v>24677.1</v>
      </c>
      <c r="F145" s="204">
        <f>ROUND(C145*(1+'Løntabel gældende fra'!$D$7/100),0)</f>
        <v>369898</v>
      </c>
      <c r="G145" s="175">
        <f>ROUND(F145/12,2)</f>
        <v>30824.83</v>
      </c>
      <c r="H145" s="1122">
        <f t="shared" si="6"/>
        <v>4623.72</v>
      </c>
      <c r="I145" s="1123"/>
    </row>
    <row r="146" spans="1:10" ht="14.4" thickBot="1">
      <c r="A146" s="138">
        <v>33</v>
      </c>
      <c r="B146" s="346">
        <v>33</v>
      </c>
      <c r="C146" s="1132">
        <f>+'Statens skalatrin'!N102</f>
        <v>301881.8</v>
      </c>
      <c r="D146" s="1133"/>
      <c r="E146" s="159">
        <f t="shared" si="4"/>
        <v>25156.82</v>
      </c>
      <c r="F146" s="205">
        <f>ROUND(C146*(1+'Løntabel gældende fra'!$D$7/100),0)</f>
        <v>377088</v>
      </c>
      <c r="G146" s="159">
        <f>ROUND(F146/12,2)</f>
        <v>31424</v>
      </c>
      <c r="H146" s="1122">
        <f t="shared" si="6"/>
        <v>4713.6000000000004</v>
      </c>
      <c r="I146" s="1123"/>
    </row>
    <row r="147" spans="1:10" ht="21">
      <c r="A147" s="1151" t="s">
        <v>88</v>
      </c>
      <c r="B147" s="1152"/>
      <c r="C147" s="1152"/>
      <c r="D147" s="1152"/>
      <c r="E147" s="1152"/>
      <c r="F147" s="1152"/>
      <c r="G147" s="1152"/>
      <c r="H147" s="1152"/>
      <c r="I147" s="1153"/>
    </row>
    <row r="148" spans="1:10" ht="21">
      <c r="A148" s="1298" t="str">
        <f>'Løntabel gældende fra'!$D$1</f>
        <v>01-11-2025</v>
      </c>
      <c r="B148" s="1299"/>
      <c r="C148" s="1299"/>
      <c r="D148" s="1299"/>
      <c r="E148" s="1299"/>
      <c r="F148" s="1299"/>
      <c r="G148" s="1299"/>
      <c r="H148" s="1299"/>
      <c r="I148" s="1300"/>
    </row>
    <row r="149" spans="1:10" ht="18" thickBot="1">
      <c r="A149" s="1136" t="s">
        <v>85</v>
      </c>
      <c r="B149" s="1137"/>
      <c r="C149" s="1137"/>
      <c r="D149" s="1137"/>
      <c r="E149" s="1137"/>
      <c r="F149" s="1138"/>
      <c r="G149" s="1138"/>
      <c r="H149" s="1138"/>
      <c r="I149" s="1139"/>
    </row>
    <row r="150" spans="1:10">
      <c r="A150" s="1095" t="s">
        <v>0</v>
      </c>
      <c r="B150" s="1142" t="s">
        <v>20</v>
      </c>
      <c r="C150" s="1143"/>
      <c r="D150" s="1143"/>
      <c r="E150" s="1143"/>
      <c r="F150" s="1288" t="s">
        <v>90</v>
      </c>
      <c r="G150" s="1289"/>
      <c r="H150" s="681">
        <v>0.17299999999999999</v>
      </c>
      <c r="I150" s="682"/>
    </row>
    <row r="151" spans="1:10" ht="14.4" thickBot="1">
      <c r="A151" s="1121"/>
      <c r="B151" s="1144"/>
      <c r="C151" s="1145"/>
      <c r="D151" s="1145"/>
      <c r="E151" s="1145"/>
      <c r="F151" s="1144" t="s">
        <v>379</v>
      </c>
      <c r="G151" s="1145"/>
      <c r="H151" s="1145"/>
      <c r="I151" s="1180"/>
    </row>
    <row r="152" spans="1:10">
      <c r="A152" s="153">
        <v>1</v>
      </c>
      <c r="B152" s="1171">
        <f>E10</f>
        <v>29114.53</v>
      </c>
      <c r="C152" s="1173"/>
      <c r="D152" s="1173"/>
      <c r="E152" s="1173"/>
      <c r="F152" s="1171">
        <f>ROUND(B152*$H$150,2)</f>
        <v>5036.8100000000004</v>
      </c>
      <c r="G152" s="1173"/>
      <c r="H152" s="1173"/>
      <c r="I152" s="1172"/>
    </row>
    <row r="153" spans="1:10" ht="15" customHeight="1">
      <c r="A153" s="88">
        <v>2</v>
      </c>
      <c r="B153" s="1174">
        <f>E11</f>
        <v>31024.54</v>
      </c>
      <c r="C153" s="1082"/>
      <c r="D153" s="1082"/>
      <c r="E153" s="1082"/>
      <c r="F153" s="1174">
        <f>ROUND(B153*$H$150,2)</f>
        <v>5367.25</v>
      </c>
      <c r="G153" s="1082"/>
      <c r="H153" s="1082"/>
      <c r="I153" s="1175"/>
    </row>
    <row r="154" spans="1:10">
      <c r="A154" s="88">
        <v>3</v>
      </c>
      <c r="B154" s="1174">
        <f>E12</f>
        <v>33903.26</v>
      </c>
      <c r="C154" s="1082"/>
      <c r="D154" s="1082"/>
      <c r="E154" s="1082"/>
      <c r="F154" s="1174">
        <f>ROUND(B154*$H$150,2)</f>
        <v>5865.26</v>
      </c>
      <c r="G154" s="1082"/>
      <c r="H154" s="1082"/>
      <c r="I154" s="1175"/>
    </row>
    <row r="155" spans="1:10" ht="19.05" customHeight="1" thickBot="1">
      <c r="A155" s="89">
        <v>4</v>
      </c>
      <c r="B155" s="1283">
        <f>E13</f>
        <v>36577.32</v>
      </c>
      <c r="C155" s="1131"/>
      <c r="D155" s="1131"/>
      <c r="E155" s="1131"/>
      <c r="F155" s="1283">
        <f>ROUND(B155*$H$150,2)</f>
        <v>6327.88</v>
      </c>
      <c r="G155" s="1131"/>
      <c r="H155" s="1131"/>
      <c r="I155" s="1167"/>
    </row>
    <row r="156" spans="1:10" ht="13.95" customHeight="1" thickBot="1">
      <c r="A156" s="1108" t="s">
        <v>86</v>
      </c>
      <c r="B156" s="1109"/>
      <c r="C156" s="1109"/>
      <c r="D156" s="1109"/>
      <c r="E156" s="1109"/>
      <c r="F156" s="1109"/>
      <c r="G156" s="1109"/>
      <c r="H156" s="1109"/>
      <c r="I156" s="388"/>
      <c r="J156" s="45"/>
    </row>
    <row r="157" spans="1:10">
      <c r="A157" s="1103" t="s">
        <v>101</v>
      </c>
      <c r="B157" s="1103" t="s">
        <v>133</v>
      </c>
      <c r="C157" s="1252" t="s">
        <v>23</v>
      </c>
      <c r="D157" s="1252"/>
      <c r="E157" s="1252"/>
      <c r="F157" s="1276" t="s">
        <v>24</v>
      </c>
      <c r="G157" s="1252"/>
      <c r="H157" s="1104" t="s">
        <v>90</v>
      </c>
      <c r="I157" s="1105"/>
    </row>
    <row r="158" spans="1:10" ht="14.4" thickBot="1">
      <c r="A158" s="1103"/>
      <c r="B158" s="1103"/>
      <c r="C158" s="1093">
        <v>40999</v>
      </c>
      <c r="D158" s="1093"/>
      <c r="E158" s="1093"/>
      <c r="F158" s="1092" t="str">
        <f>'Løntabel gældende fra'!$D$1</f>
        <v>01-11-2025</v>
      </c>
      <c r="G158" s="1093"/>
      <c r="H158" s="1217"/>
      <c r="I158" s="1219"/>
    </row>
    <row r="159" spans="1:10" ht="14.4" thickBot="1">
      <c r="A159" s="1120"/>
      <c r="B159" s="1103"/>
      <c r="C159" s="1124" t="s">
        <v>83</v>
      </c>
      <c r="D159" s="1105"/>
      <c r="E159" s="567" t="s">
        <v>84</v>
      </c>
      <c r="F159" s="314" t="s">
        <v>83</v>
      </c>
      <c r="G159" s="615" t="s">
        <v>84</v>
      </c>
      <c r="H159" s="1290">
        <v>0.15</v>
      </c>
      <c r="I159" s="1291"/>
    </row>
    <row r="160" spans="1:10">
      <c r="A160" s="132">
        <v>1</v>
      </c>
      <c r="B160" s="345">
        <v>24</v>
      </c>
      <c r="C160" s="1160">
        <f>+'Statens skalatrin'!N75</f>
        <v>255037.97</v>
      </c>
      <c r="D160" s="1161"/>
      <c r="E160" s="158">
        <f t="shared" ref="E160:E174" si="7">ROUND(C160/12,2)</f>
        <v>21253.16</v>
      </c>
      <c r="F160" s="203">
        <f>ROUND(C160*(1+'Løntabel gældende fra'!$D$7/100),0)</f>
        <v>318575</v>
      </c>
      <c r="G160" s="158">
        <f>ROUND(F160/12,2)</f>
        <v>26547.919999999998</v>
      </c>
      <c r="H160" s="1122">
        <f>ROUND(G160*$H$159,2)</f>
        <v>3982.19</v>
      </c>
      <c r="I160" s="1123"/>
    </row>
    <row r="161" spans="1:9">
      <c r="A161" s="616">
        <v>1</v>
      </c>
      <c r="B161" s="617">
        <v>25</v>
      </c>
      <c r="C161" s="1083">
        <f>+'Statens skalatrin'!N78</f>
        <v>259721.7</v>
      </c>
      <c r="D161" s="1084"/>
      <c r="E161" s="175">
        <f t="shared" si="7"/>
        <v>21643.48</v>
      </c>
      <c r="F161" s="204">
        <f>ROUND(C161*(1+'Løntabel gældende fra'!$D$7/100),0)</f>
        <v>324425</v>
      </c>
      <c r="G161" s="175">
        <f t="shared" ref="G161:G174" si="8">ROUND(F161/12,2)</f>
        <v>27035.42</v>
      </c>
      <c r="H161" s="1122">
        <f t="shared" ref="H161:H174" si="9">ROUND(G161*$H$159,2)</f>
        <v>4055.31</v>
      </c>
      <c r="I161" s="1123"/>
    </row>
    <row r="162" spans="1:9">
      <c r="A162" s="616">
        <v>2</v>
      </c>
      <c r="B162" s="617">
        <v>27</v>
      </c>
      <c r="C162" s="1083">
        <f>+'Statens skalatrin'!N84</f>
        <v>269459.90000000002</v>
      </c>
      <c r="D162" s="1084"/>
      <c r="E162" s="175">
        <f t="shared" si="7"/>
        <v>22454.99</v>
      </c>
      <c r="F162" s="204">
        <f>ROUND(C162*(1+'Løntabel gældende fra'!$D$7/100),0)</f>
        <v>336589</v>
      </c>
      <c r="G162" s="175">
        <f t="shared" si="8"/>
        <v>28049.08</v>
      </c>
      <c r="H162" s="1122">
        <f t="shared" si="9"/>
        <v>4207.3599999999997</v>
      </c>
      <c r="I162" s="1123"/>
    </row>
    <row r="163" spans="1:9">
      <c r="A163" s="616">
        <v>2</v>
      </c>
      <c r="B163" s="617">
        <v>29</v>
      </c>
      <c r="C163" s="1083">
        <f>+'Statens skalatrin'!N90</f>
        <v>279714.99</v>
      </c>
      <c r="D163" s="1084"/>
      <c r="E163" s="175">
        <f t="shared" si="7"/>
        <v>23309.58</v>
      </c>
      <c r="F163" s="204">
        <f>ROUND(C163*(1+'Løntabel gældende fra'!$D$7/100),0)</f>
        <v>349399</v>
      </c>
      <c r="G163" s="175">
        <f t="shared" si="8"/>
        <v>29116.58</v>
      </c>
      <c r="H163" s="1122">
        <f t="shared" si="9"/>
        <v>4367.49</v>
      </c>
      <c r="I163" s="1123"/>
    </row>
    <row r="164" spans="1:9">
      <c r="A164" s="616">
        <v>3</v>
      </c>
      <c r="B164" s="617">
        <v>31</v>
      </c>
      <c r="C164" s="1083">
        <f>+'Statens skalatrin'!N96</f>
        <v>290512.64000000001</v>
      </c>
      <c r="D164" s="1084"/>
      <c r="E164" s="175">
        <f t="shared" si="7"/>
        <v>24209.39</v>
      </c>
      <c r="F164" s="204">
        <f>ROUND(C164*(1+'Løntabel gældende fra'!$D$7/100),0)</f>
        <v>362887</v>
      </c>
      <c r="G164" s="175">
        <f t="shared" si="8"/>
        <v>30240.58</v>
      </c>
      <c r="H164" s="1122">
        <f t="shared" si="9"/>
        <v>4536.09</v>
      </c>
      <c r="I164" s="1123"/>
    </row>
    <row r="165" spans="1:9">
      <c r="A165" s="616">
        <v>3</v>
      </c>
      <c r="B165" s="617">
        <v>33</v>
      </c>
      <c r="C165" s="1083">
        <f>+'Statens skalatrin'!N102</f>
        <v>301881.8</v>
      </c>
      <c r="D165" s="1084"/>
      <c r="E165" s="175">
        <f t="shared" si="7"/>
        <v>25156.82</v>
      </c>
      <c r="F165" s="204">
        <f>ROUND(C165*(1+'Løntabel gældende fra'!$D$7/100),0)</f>
        <v>377088</v>
      </c>
      <c r="G165" s="175">
        <f t="shared" si="8"/>
        <v>31424</v>
      </c>
      <c r="H165" s="1122">
        <f t="shared" si="9"/>
        <v>4713.6000000000004</v>
      </c>
      <c r="I165" s="1123"/>
    </row>
    <row r="166" spans="1:9">
      <c r="A166" s="616">
        <v>3</v>
      </c>
      <c r="B166" s="617">
        <v>35</v>
      </c>
      <c r="C166" s="1083">
        <f>+'Statens skalatrin'!N108</f>
        <v>313854.56</v>
      </c>
      <c r="D166" s="1084"/>
      <c r="E166" s="175">
        <f t="shared" si="7"/>
        <v>26154.55</v>
      </c>
      <c r="F166" s="204">
        <f>ROUND(C166*(1+'Løntabel gældende fra'!$D$7/100),0)</f>
        <v>392044</v>
      </c>
      <c r="G166" s="175">
        <f t="shared" si="8"/>
        <v>32670.33</v>
      </c>
      <c r="H166" s="1122">
        <f t="shared" si="9"/>
        <v>4900.55</v>
      </c>
      <c r="I166" s="1123"/>
    </row>
    <row r="167" spans="1:9">
      <c r="A167" s="616">
        <v>3</v>
      </c>
      <c r="B167" s="617">
        <v>37</v>
      </c>
      <c r="C167" s="1083">
        <f>+'Statens skalatrin'!N114</f>
        <v>326457.34000000003</v>
      </c>
      <c r="D167" s="1084"/>
      <c r="E167" s="175">
        <f t="shared" si="7"/>
        <v>27204.78</v>
      </c>
      <c r="F167" s="204">
        <f>ROUND(C167*(1+'Løntabel gældende fra'!$D$7/100),0)</f>
        <v>407786</v>
      </c>
      <c r="G167" s="175">
        <f t="shared" si="8"/>
        <v>33982.17</v>
      </c>
      <c r="H167" s="1122">
        <f t="shared" si="9"/>
        <v>5097.33</v>
      </c>
      <c r="I167" s="1123"/>
    </row>
    <row r="168" spans="1:9">
      <c r="A168" s="616">
        <v>3</v>
      </c>
      <c r="B168" s="617">
        <v>40</v>
      </c>
      <c r="C168" s="1083">
        <f>+'Statens skalatrin'!N123</f>
        <v>347027.46</v>
      </c>
      <c r="D168" s="1084"/>
      <c r="E168" s="175">
        <f t="shared" si="7"/>
        <v>28918.959999999999</v>
      </c>
      <c r="F168" s="204">
        <f>ROUND(C168*(1+'Løntabel gældende fra'!$D$7/100),0)</f>
        <v>433481</v>
      </c>
      <c r="G168" s="175">
        <f t="shared" si="8"/>
        <v>36123.42</v>
      </c>
      <c r="H168" s="1122">
        <f t="shared" si="9"/>
        <v>5418.51</v>
      </c>
      <c r="I168" s="1123"/>
    </row>
    <row r="169" spans="1:9">
      <c r="A169" s="616">
        <v>35</v>
      </c>
      <c r="B169" s="617">
        <v>35</v>
      </c>
      <c r="C169" s="1083">
        <f>+C166</f>
        <v>313854.56</v>
      </c>
      <c r="D169" s="1084"/>
      <c r="E169" s="175">
        <f t="shared" si="7"/>
        <v>26154.55</v>
      </c>
      <c r="F169" s="204">
        <f>ROUND(C169*(1+'Løntabel gældende fra'!$D$7/100),0)</f>
        <v>392044</v>
      </c>
      <c r="G169" s="175">
        <f t="shared" si="8"/>
        <v>32670.33</v>
      </c>
      <c r="H169" s="1122">
        <f t="shared" si="9"/>
        <v>4900.55</v>
      </c>
      <c r="I169" s="1123"/>
    </row>
    <row r="170" spans="1:9">
      <c r="A170" s="616">
        <v>36</v>
      </c>
      <c r="B170" s="617">
        <v>36</v>
      </c>
      <c r="C170" s="1083">
        <f>+'Statens skalatrin'!N111</f>
        <v>320074.68</v>
      </c>
      <c r="D170" s="1084"/>
      <c r="E170" s="175">
        <f t="shared" si="7"/>
        <v>26672.89</v>
      </c>
      <c r="F170" s="204">
        <f>ROUND(C170*(1+'Løntabel gældende fra'!$D$7/100),0)</f>
        <v>399814</v>
      </c>
      <c r="G170" s="175">
        <f t="shared" si="8"/>
        <v>33317.83</v>
      </c>
      <c r="H170" s="1122">
        <f t="shared" si="9"/>
        <v>4997.67</v>
      </c>
      <c r="I170" s="1123"/>
    </row>
    <row r="171" spans="1:9" ht="15" hidden="1" customHeight="1">
      <c r="A171" s="616">
        <v>38</v>
      </c>
      <c r="B171" s="617">
        <v>38</v>
      </c>
      <c r="C171" s="1083">
        <f>+'Statens skalatrin'!N117</f>
        <v>333128.88</v>
      </c>
      <c r="D171" s="1084"/>
      <c r="E171" s="175">
        <f t="shared" si="7"/>
        <v>27760.74</v>
      </c>
      <c r="F171" s="204">
        <f>ROUND(C171*(1+'Løntabel gældende fra'!$D$7/100),0)</f>
        <v>416120</v>
      </c>
      <c r="G171" s="175">
        <f t="shared" si="8"/>
        <v>34676.67</v>
      </c>
      <c r="H171" s="1122">
        <f t="shared" si="9"/>
        <v>5201.5</v>
      </c>
      <c r="I171" s="1123"/>
    </row>
    <row r="172" spans="1:9" s="68" customFormat="1" ht="15.75" customHeight="1">
      <c r="A172" s="616">
        <v>40</v>
      </c>
      <c r="B172" s="617">
        <v>40</v>
      </c>
      <c r="C172" s="1083">
        <f>+'Statens skalatrin'!N123</f>
        <v>347027.46</v>
      </c>
      <c r="D172" s="1084"/>
      <c r="E172" s="175">
        <f t="shared" si="7"/>
        <v>28918.959999999999</v>
      </c>
      <c r="F172" s="204">
        <f>ROUND(C172*(1+'Løntabel gældende fra'!$D$7/100),0)</f>
        <v>433481</v>
      </c>
      <c r="G172" s="175">
        <f t="shared" si="8"/>
        <v>36123.42</v>
      </c>
      <c r="H172" s="1122">
        <f t="shared" si="9"/>
        <v>5418.51</v>
      </c>
      <c r="I172" s="1123"/>
    </row>
    <row r="173" spans="1:9" s="68" customFormat="1" ht="14.4">
      <c r="A173" s="616">
        <v>41</v>
      </c>
      <c r="B173" s="617">
        <v>41</v>
      </c>
      <c r="C173" s="1083">
        <f>+'Statens skalatrin'!N126</f>
        <v>354249.23</v>
      </c>
      <c r="D173" s="1084"/>
      <c r="E173" s="175">
        <f t="shared" si="7"/>
        <v>29520.77</v>
      </c>
      <c r="F173" s="204">
        <f>ROUND(C173*(1+'Løntabel gældende fra'!$D$7/100),0)</f>
        <v>442502</v>
      </c>
      <c r="G173" s="175">
        <f t="shared" si="8"/>
        <v>36875.17</v>
      </c>
      <c r="H173" s="1122">
        <f t="shared" si="9"/>
        <v>5531.28</v>
      </c>
      <c r="I173" s="1123"/>
    </row>
    <row r="174" spans="1:9" s="68" customFormat="1" ht="15" thickBot="1">
      <c r="A174" s="966">
        <v>42</v>
      </c>
      <c r="B174" s="967">
        <v>42</v>
      </c>
      <c r="C174" s="1294">
        <f>+'Statens skalatrin'!N129</f>
        <v>361659.2</v>
      </c>
      <c r="D174" s="1295"/>
      <c r="E174" s="968">
        <f t="shared" si="7"/>
        <v>30138.27</v>
      </c>
      <c r="F174" s="969">
        <f>ROUND(C174*(1+'Løntabel gældende fra'!$D$7/100),0)</f>
        <v>451758</v>
      </c>
      <c r="G174" s="968">
        <f t="shared" si="8"/>
        <v>37646.5</v>
      </c>
      <c r="H174" s="1292">
        <f t="shared" si="9"/>
        <v>5646.98</v>
      </c>
      <c r="I174" s="1293"/>
    </row>
    <row r="175" spans="1:9" s="68" customFormat="1" ht="64.05" customHeight="1" thickBot="1">
      <c r="A175" s="1285" t="s">
        <v>392</v>
      </c>
      <c r="B175" s="1286"/>
      <c r="C175" s="1286"/>
      <c r="D175" s="1286"/>
      <c r="E175" s="1286"/>
      <c r="F175" s="1286"/>
      <c r="G175" s="1286"/>
      <c r="H175" s="1286"/>
      <c r="I175" s="1287"/>
    </row>
    <row r="176" spans="1:9" ht="14.4">
      <c r="A176" s="71"/>
      <c r="B176" s="71"/>
      <c r="C176" s="71"/>
      <c r="D176" s="72"/>
      <c r="E176" s="70"/>
      <c r="F176" s="68"/>
      <c r="G176" s="68"/>
      <c r="H176" s="68"/>
      <c r="I176" s="68"/>
    </row>
    <row r="177" spans="1:9" ht="14.4">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mergeCells count="267">
    <mergeCell ref="F125:I125"/>
    <mergeCell ref="F126:I126"/>
    <mergeCell ref="F127:I127"/>
    <mergeCell ref="F128:I128"/>
    <mergeCell ref="B125:E125"/>
    <mergeCell ref="B126:E126"/>
    <mergeCell ref="B127:E127"/>
    <mergeCell ref="B128:E128"/>
    <mergeCell ref="C131:E131"/>
    <mergeCell ref="A129:I129"/>
    <mergeCell ref="H130:I131"/>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A101:C102"/>
    <mergeCell ref="F101:G101"/>
    <mergeCell ref="A92:G92"/>
    <mergeCell ref="A91:G91"/>
    <mergeCell ref="A79:I79"/>
    <mergeCell ref="A80:I80"/>
    <mergeCell ref="A84:I84"/>
    <mergeCell ref="A81:G82"/>
    <mergeCell ref="A83:G83"/>
    <mergeCell ref="A90:G90"/>
    <mergeCell ref="D101:E101"/>
    <mergeCell ref="A97:C98"/>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59:G59"/>
    <mergeCell ref="A60:A61"/>
    <mergeCell ref="B60:C60"/>
    <mergeCell ref="D60:E60"/>
    <mergeCell ref="D64:E64"/>
    <mergeCell ref="F64:G64"/>
    <mergeCell ref="B65:C65"/>
    <mergeCell ref="D65:E65"/>
    <mergeCell ref="F65:G65"/>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C158:E158"/>
    <mergeCell ref="F158:G158"/>
    <mergeCell ref="A156:H156"/>
    <mergeCell ref="A157:A159"/>
    <mergeCell ref="A150:A151"/>
    <mergeCell ref="C136:D136"/>
    <mergeCell ref="C143:D143"/>
    <mergeCell ref="H143:I143"/>
    <mergeCell ref="H144:I144"/>
    <mergeCell ref="H145:I145"/>
    <mergeCell ref="C159:D159"/>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s>
  <phoneticPr fontId="7"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47" max="8" man="1"/>
    <brk id="94" max="8"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topLeftCell="A44" zoomScaleSheetLayoutView="100" workbookViewId="0">
      <selection activeCell="B44" sqref="B44:D44"/>
    </sheetView>
  </sheetViews>
  <sheetFormatPr defaultColWidth="8.77734375" defaultRowHeight="13.8"/>
  <cols>
    <col min="1" max="1" width="21.6640625" style="2" customWidth="1"/>
    <col min="2" max="2" width="20.6640625" style="2" customWidth="1"/>
    <col min="3" max="3" width="14" style="2" customWidth="1"/>
    <col min="4" max="4" width="21.6640625" style="2" customWidth="1"/>
    <col min="5" max="5" width="17.109375" style="2" customWidth="1"/>
    <col min="6" max="6" width="21.33203125" style="2" customWidth="1"/>
    <col min="7" max="7" width="0.109375" style="2" customWidth="1"/>
    <col min="8" max="8" width="17.109375" style="2" customWidth="1"/>
    <col min="9" max="9" width="26.6640625" style="2" customWidth="1"/>
    <col min="10" max="16384" width="8.77734375" style="2"/>
  </cols>
  <sheetData>
    <row r="1" spans="1:16" ht="28.05" customHeight="1">
      <c r="A1" s="1208" t="s">
        <v>421</v>
      </c>
      <c r="B1" s="1209"/>
      <c r="C1" s="1209"/>
      <c r="D1" s="1209"/>
      <c r="E1" s="1209"/>
      <c r="F1" s="1209"/>
      <c r="G1" s="1210"/>
      <c r="N1" s="834"/>
      <c r="O1" s="834"/>
      <c r="P1" s="834"/>
    </row>
    <row r="2" spans="1:16" ht="27" customHeight="1" thickBot="1">
      <c r="A2" s="1240" t="str">
        <f>'Forside 1'!A6:I6</f>
        <v>Gældende fra 1. november 2025</v>
      </c>
      <c r="B2" s="1241"/>
      <c r="C2" s="1241"/>
      <c r="D2" s="1241"/>
      <c r="E2" s="1241"/>
      <c r="F2" s="1241"/>
      <c r="G2" s="873"/>
      <c r="L2" s="834"/>
      <c r="M2" s="834"/>
      <c r="N2" s="834"/>
    </row>
    <row r="3" spans="1:16" ht="18" customHeight="1" thickBot="1">
      <c r="A3" s="837"/>
      <c r="B3" s="837"/>
      <c r="C3" s="837"/>
      <c r="D3" s="837"/>
      <c r="E3" s="837"/>
      <c r="F3" s="837"/>
      <c r="G3" s="836"/>
      <c r="N3" s="834"/>
      <c r="O3" s="834"/>
      <c r="P3" s="834"/>
    </row>
    <row r="4" spans="1:16" ht="13.95" customHeight="1">
      <c r="A4" s="1325" t="s">
        <v>388</v>
      </c>
      <c r="B4" s="1326"/>
      <c r="C4" s="1326"/>
      <c r="D4" s="1326"/>
      <c r="E4" s="1326"/>
      <c r="F4" s="1327"/>
      <c r="G4" s="78"/>
      <c r="N4" s="1320"/>
      <c r="O4" s="1320"/>
      <c r="P4" s="1320"/>
    </row>
    <row r="5" spans="1:16" ht="13.95" customHeight="1">
      <c r="A5" s="1328"/>
      <c r="B5" s="1329"/>
      <c r="C5" s="1329"/>
      <c r="D5" s="1329"/>
      <c r="E5" s="1329"/>
      <c r="F5" s="1330"/>
      <c r="G5" s="78"/>
      <c r="H5"/>
      <c r="N5" s="42"/>
      <c r="O5" s="42"/>
      <c r="P5" s="42"/>
    </row>
    <row r="6" spans="1:16" customFormat="1" ht="15" customHeight="1" thickBot="1">
      <c r="A6" s="1154" t="s">
        <v>276</v>
      </c>
      <c r="B6" s="1155"/>
      <c r="C6" s="1155"/>
      <c r="D6" s="1155"/>
      <c r="E6" s="1155"/>
      <c r="F6" s="1156"/>
      <c r="G6" s="78"/>
    </row>
    <row r="7" spans="1:16" customFormat="1" ht="15" customHeight="1">
      <c r="A7" s="1321"/>
      <c r="B7" s="1322"/>
      <c r="C7" s="1316" t="s">
        <v>128</v>
      </c>
      <c r="D7" s="1317"/>
      <c r="E7" s="1316" t="s">
        <v>306</v>
      </c>
      <c r="F7" s="1317"/>
      <c r="G7" s="60"/>
    </row>
    <row r="8" spans="1:16" customFormat="1" ht="24" customHeight="1" thickBot="1">
      <c r="A8" s="1323"/>
      <c r="B8" s="1324"/>
      <c r="C8" s="1313">
        <v>40999</v>
      </c>
      <c r="D8" s="1309"/>
      <c r="E8" s="1308" t="str">
        <f>'Løntabel gældende fra'!D1</f>
        <v>01-11-2025</v>
      </c>
      <c r="F8" s="1309"/>
      <c r="G8" s="60"/>
    </row>
    <row r="9" spans="1:16" customFormat="1" ht="16.95" customHeight="1" thickBot="1">
      <c r="A9" s="1318" t="s">
        <v>112</v>
      </c>
      <c r="B9" s="1319"/>
      <c r="C9" s="1332" t="s">
        <v>283</v>
      </c>
      <c r="D9" s="1311"/>
      <c r="E9" s="1332" t="s">
        <v>283</v>
      </c>
      <c r="F9" s="1311"/>
      <c r="G9" s="60"/>
    </row>
    <row r="10" spans="1:16" customFormat="1" ht="16.95" customHeight="1">
      <c r="A10" s="1367" t="s">
        <v>113</v>
      </c>
      <c r="B10" s="1368"/>
      <c r="C10" s="95">
        <v>382714</v>
      </c>
      <c r="D10" s="96">
        <v>452573</v>
      </c>
      <c r="E10" s="95">
        <f>C10+C10*'Løntabel gældende fra'!$D$7%</f>
        <v>478058.00796399999</v>
      </c>
      <c r="F10" s="96">
        <f>D10+D10*'Løntabel gældende fra'!$D$7%</f>
        <v>565320.701198</v>
      </c>
      <c r="G10" s="53"/>
    </row>
    <row r="11" spans="1:16" customFormat="1" ht="16.95" customHeight="1">
      <c r="A11" s="1363" t="s">
        <v>114</v>
      </c>
      <c r="B11" s="1364"/>
      <c r="C11" s="97">
        <v>412239</v>
      </c>
      <c r="D11" s="121">
        <v>492583</v>
      </c>
      <c r="E11" s="98">
        <f>C11+C11*'Løntabel gældende fra'!$D$7%</f>
        <v>514938.45311400003</v>
      </c>
      <c r="F11" s="93">
        <f>D11+D11*'Løntabel gældende fra'!$D$7%</f>
        <v>615298.23245800007</v>
      </c>
      <c r="G11" s="53"/>
    </row>
    <row r="12" spans="1:16" customFormat="1" ht="16.95" customHeight="1">
      <c r="A12" s="1369" t="s">
        <v>386</v>
      </c>
      <c r="B12" s="1370"/>
      <c r="C12" s="98">
        <v>447845</v>
      </c>
      <c r="D12" s="93">
        <v>537363</v>
      </c>
      <c r="E12" s="98">
        <f>C12+C12*'Løntabel gældende fra'!$D$7%</f>
        <v>559414.83346999995</v>
      </c>
      <c r="F12" s="93">
        <f>D12+D12*'Løntabel gældende fra'!$D$7%</f>
        <v>671234.09473800007</v>
      </c>
      <c r="G12" s="53"/>
      <c r="H12" s="57"/>
    </row>
    <row r="13" spans="1:16" s="57" customFormat="1" ht="16.95" customHeight="1" thickBot="1">
      <c r="A13" s="1365" t="s">
        <v>387</v>
      </c>
      <c r="B13" s="1366"/>
      <c r="C13" s="691">
        <v>447845</v>
      </c>
      <c r="D13" s="692">
        <v>592411</v>
      </c>
      <c r="E13" s="691">
        <f>C13+C13*'Løntabel gældende fra'!$D$7%</f>
        <v>559414.83346999995</v>
      </c>
      <c r="F13" s="692">
        <f>D13+D13*'Løntabel gældende fra'!$D$7%</f>
        <v>739995.98278600001</v>
      </c>
      <c r="G13" s="53"/>
      <c r="H13" s="2"/>
    </row>
    <row r="14" spans="1:16" ht="18" customHeight="1" thickBot="1">
      <c r="A14" s="77"/>
      <c r="B14" s="77"/>
      <c r="C14" s="77"/>
      <c r="D14" s="77"/>
      <c r="E14" s="77"/>
      <c r="F14" s="77"/>
      <c r="G14" s="77"/>
    </row>
    <row r="15" spans="1:16" ht="13.95" customHeight="1">
      <c r="A15" s="1151" t="s">
        <v>391</v>
      </c>
      <c r="B15" s="1152"/>
      <c r="C15" s="1152"/>
      <c r="D15" s="1152"/>
      <c r="E15" s="1152"/>
      <c r="F15" s="1153"/>
      <c r="G15" s="78"/>
      <c r="H15" s="704"/>
    </row>
    <row r="16" spans="1:16" ht="13.95" customHeight="1">
      <c r="A16" s="1360"/>
      <c r="B16" s="1361"/>
      <c r="C16" s="1361"/>
      <c r="D16" s="1361"/>
      <c r="E16" s="1361"/>
      <c r="F16" s="1362"/>
      <c r="G16" s="78"/>
      <c r="H16" s="704" t="s">
        <v>126</v>
      </c>
      <c r="I16" s="704"/>
      <c r="N16" s="42"/>
      <c r="O16" s="42"/>
      <c r="P16" s="42"/>
    </row>
    <row r="17" spans="1:16" customFormat="1" ht="15" customHeight="1" thickBot="1">
      <c r="A17" s="1154" t="s">
        <v>276</v>
      </c>
      <c r="B17" s="1155"/>
      <c r="C17" s="1155"/>
      <c r="D17" s="1155"/>
      <c r="E17" s="1155"/>
      <c r="F17" s="1156"/>
      <c r="G17" s="78"/>
      <c r="H17" s="705"/>
      <c r="I17" s="704"/>
    </row>
    <row r="18" spans="1:16" customFormat="1" ht="15" customHeight="1">
      <c r="A18" s="1202"/>
      <c r="B18" s="1204"/>
      <c r="C18" s="1312" t="s">
        <v>128</v>
      </c>
      <c r="D18" s="1066"/>
      <c r="E18" s="1312" t="s">
        <v>306</v>
      </c>
      <c r="F18" s="1066"/>
      <c r="G18" s="60"/>
      <c r="H18" s="704"/>
      <c r="I18" s="705"/>
    </row>
    <row r="19" spans="1:16" customFormat="1" ht="24" customHeight="1" thickBot="1">
      <c r="A19" s="1314"/>
      <c r="B19" s="1315"/>
      <c r="C19" s="1313">
        <v>40999</v>
      </c>
      <c r="D19" s="1309"/>
      <c r="E19" s="1308" t="str">
        <f>'Løntabel gældende fra'!D1</f>
        <v>01-11-2025</v>
      </c>
      <c r="F19" s="1309"/>
      <c r="G19" s="60"/>
      <c r="H19" s="705">
        <v>35388</v>
      </c>
      <c r="I19" s="704"/>
    </row>
    <row r="20" spans="1:16" customFormat="1" ht="16.95" customHeight="1" thickBot="1">
      <c r="A20" s="693" t="s">
        <v>112</v>
      </c>
      <c r="B20" s="415" t="s">
        <v>116</v>
      </c>
      <c r="C20" s="1310" t="s">
        <v>283</v>
      </c>
      <c r="D20" s="1311"/>
      <c r="E20" s="1332" t="s">
        <v>283</v>
      </c>
      <c r="F20" s="1311"/>
      <c r="G20" s="60"/>
      <c r="H20" s="705">
        <v>35388</v>
      </c>
      <c r="I20" s="705">
        <v>26213</v>
      </c>
    </row>
    <row r="21" spans="1:16" customFormat="1" ht="16.95" customHeight="1">
      <c r="A21" s="697" t="s">
        <v>117</v>
      </c>
      <c r="B21" s="696" t="s">
        <v>118</v>
      </c>
      <c r="C21" s="122">
        <f>C10+H19</f>
        <v>418102</v>
      </c>
      <c r="D21" s="123">
        <f>D10+I20</f>
        <v>478786</v>
      </c>
      <c r="E21" s="119">
        <f>C21+C21*'Løntabel gældende fra'!$D$7%</f>
        <v>522262.07885200001</v>
      </c>
      <c r="F21" s="120">
        <f>D21+D21*'Løntabel gældende fra'!$D$7%</f>
        <v>598064.04103600001</v>
      </c>
      <c r="G21" s="53"/>
      <c r="H21" s="705">
        <v>35388</v>
      </c>
      <c r="I21" s="705">
        <v>26213</v>
      </c>
    </row>
    <row r="22" spans="1:16" customFormat="1" ht="16.95" customHeight="1">
      <c r="A22" s="402" t="s">
        <v>114</v>
      </c>
      <c r="B22" s="88" t="s">
        <v>118</v>
      </c>
      <c r="C22" s="97">
        <f>C11+H20</f>
        <v>447627</v>
      </c>
      <c r="D22" s="121">
        <f>D11+I21</f>
        <v>518796</v>
      </c>
      <c r="E22" s="94">
        <f>C22+C22*'Løntabel gældende fra'!$D$7%</f>
        <v>559142.52400199999</v>
      </c>
      <c r="F22" s="93">
        <f>D22+D22*'Løntabel gældende fra'!$D$7%</f>
        <v>648041.57229599997</v>
      </c>
      <c r="G22" s="53"/>
      <c r="H22" s="705">
        <v>52426</v>
      </c>
      <c r="I22" s="705">
        <v>26213</v>
      </c>
    </row>
    <row r="23" spans="1:16" s="57" customFormat="1" ht="16.95" customHeight="1">
      <c r="A23" s="694" t="s">
        <v>115</v>
      </c>
      <c r="B23" s="695" t="s">
        <v>118</v>
      </c>
      <c r="C23" s="122">
        <f>C12+H21</f>
        <v>483233</v>
      </c>
      <c r="D23" s="123">
        <f>D12+I22</f>
        <v>563576</v>
      </c>
      <c r="E23" s="124">
        <f>C23+C23*'Løntabel gældende fra'!$D$7%</f>
        <v>603618.90435800003</v>
      </c>
      <c r="F23" s="125">
        <f>D23+D23*'Løntabel gældende fra'!$D$7%</f>
        <v>703977.43457599997</v>
      </c>
      <c r="G23" s="53"/>
      <c r="H23" s="705">
        <v>52426</v>
      </c>
      <c r="I23" s="705">
        <v>43252</v>
      </c>
    </row>
    <row r="24" spans="1:16" s="57" customFormat="1" ht="16.95" customHeight="1">
      <c r="A24" s="698" t="s">
        <v>119</v>
      </c>
      <c r="B24" s="700" t="s">
        <v>120</v>
      </c>
      <c r="C24" s="98">
        <f>C10+H22</f>
        <v>435140</v>
      </c>
      <c r="D24" s="93">
        <f>D10+I23</f>
        <v>495825</v>
      </c>
      <c r="E24" s="94">
        <f>C24+C24*'Løntabel gældende fra'!$D$7%</f>
        <v>543544.68764000002</v>
      </c>
      <c r="F24" s="93">
        <f>D24+D24*'Løntabel gældende fra'!$D$7%</f>
        <v>619347.89895000006</v>
      </c>
      <c r="G24" s="65"/>
      <c r="H24" s="705">
        <v>52426</v>
      </c>
      <c r="I24" s="705">
        <v>43252</v>
      </c>
    </row>
    <row r="25" spans="1:16" s="57" customFormat="1" ht="16.95" customHeight="1">
      <c r="A25" s="698" t="s">
        <v>114</v>
      </c>
      <c r="B25" s="700" t="s">
        <v>120</v>
      </c>
      <c r="C25" s="122">
        <f>C11+H23</f>
        <v>464665</v>
      </c>
      <c r="D25" s="123">
        <f>D11+I24</f>
        <v>535835</v>
      </c>
      <c r="E25" s="126">
        <f>C25+C25*'Løntabel gældende fra'!$D$7%</f>
        <v>580425.13278999995</v>
      </c>
      <c r="F25" s="123">
        <f>D25+D25*'Løntabel gældende fra'!$D$7%</f>
        <v>669325.43021000002</v>
      </c>
      <c r="G25" s="65"/>
      <c r="H25" s="706">
        <v>70776</v>
      </c>
      <c r="I25" s="705">
        <v>43252</v>
      </c>
    </row>
    <row r="26" spans="1:16" s="57" customFormat="1" ht="16.95" customHeight="1">
      <c r="A26" s="698" t="s">
        <v>115</v>
      </c>
      <c r="B26" s="700" t="s">
        <v>120</v>
      </c>
      <c r="C26" s="98">
        <f>C12+H24</f>
        <v>500271</v>
      </c>
      <c r="D26" s="93">
        <f>D12+I25</f>
        <v>580615</v>
      </c>
      <c r="E26" s="94">
        <f>C26+C26*'Løntabel gældende fra'!$D$7%</f>
        <v>624901.51314599998</v>
      </c>
      <c r="F26" s="93">
        <f>D26+D26*'Løntabel gældende fra'!$D$7%</f>
        <v>725261.29249000002</v>
      </c>
      <c r="G26" s="65"/>
      <c r="H26" s="706">
        <v>70776</v>
      </c>
      <c r="I26" s="706">
        <v>61601</v>
      </c>
    </row>
    <row r="27" spans="1:16" s="57" customFormat="1" ht="16.95" customHeight="1">
      <c r="A27" s="698" t="s">
        <v>119</v>
      </c>
      <c r="B27" s="700" t="s">
        <v>121</v>
      </c>
      <c r="C27" s="98">
        <f>C10+H25</f>
        <v>453490</v>
      </c>
      <c r="D27" s="93">
        <f>D10+I26</f>
        <v>514174</v>
      </c>
      <c r="E27" s="119">
        <f>C27+C27*'Løntabel gældende fra'!$D$7%</f>
        <v>566466.14974000002</v>
      </c>
      <c r="F27" s="120">
        <f>D27+D27*'Løntabel gældende fra'!$D$7%</f>
        <v>642268.11192399997</v>
      </c>
      <c r="G27" s="65"/>
      <c r="H27" s="706">
        <v>70776</v>
      </c>
      <c r="I27" s="706">
        <v>61601</v>
      </c>
    </row>
    <row r="28" spans="1:16" s="57" customFormat="1" ht="16.95" customHeight="1">
      <c r="A28" s="698" t="s">
        <v>114</v>
      </c>
      <c r="B28" s="700" t="s">
        <v>121</v>
      </c>
      <c r="C28" s="98">
        <f>C11+H26</f>
        <v>483015</v>
      </c>
      <c r="D28" s="93">
        <f>D11+I27</f>
        <v>554184</v>
      </c>
      <c r="E28" s="94">
        <f>C28+C28*'Løntabel gældende fra'!$D$7%</f>
        <v>603346.59489000007</v>
      </c>
      <c r="F28" s="93">
        <f>D28+D28*'Løntabel gældende fra'!$D$7%</f>
        <v>692245.64318400004</v>
      </c>
      <c r="G28" s="65"/>
      <c r="H28" s="706"/>
      <c r="I28" s="706">
        <v>61601</v>
      </c>
    </row>
    <row r="29" spans="1:16" s="57" customFormat="1" ht="18" customHeight="1" thickBot="1">
      <c r="A29" s="699" t="s">
        <v>115</v>
      </c>
      <c r="B29" s="701" t="s">
        <v>121</v>
      </c>
      <c r="C29" s="99">
        <f>C12+H27</f>
        <v>518621</v>
      </c>
      <c r="D29" s="101">
        <f>D12+I28</f>
        <v>598964</v>
      </c>
      <c r="E29" s="100">
        <f>C29+C29*'Løntabel gældende fra'!$D$7%</f>
        <v>647822.97524599999</v>
      </c>
      <c r="F29" s="101">
        <f>D29+D29*'Løntabel gældende fra'!$D$7%</f>
        <v>748181.50546400005</v>
      </c>
      <c r="G29" s="65"/>
      <c r="H29" s="2"/>
      <c r="I29" s="706"/>
    </row>
    <row r="30" spans="1:16" ht="24" customHeight="1" thickBot="1">
      <c r="A30" s="65"/>
      <c r="B30" s="65"/>
      <c r="C30" s="65"/>
      <c r="D30" s="65"/>
      <c r="E30" s="65"/>
      <c r="F30" s="65"/>
      <c r="G30" s="65"/>
      <c r="N30" s="1339"/>
      <c r="O30" s="1339"/>
      <c r="P30" s="1339"/>
    </row>
    <row r="31" spans="1:16" ht="10.95" customHeight="1">
      <c r="A31" s="1333" t="s">
        <v>411</v>
      </c>
      <c r="B31" s="1334"/>
      <c r="C31" s="1334"/>
      <c r="D31" s="1334"/>
      <c r="E31" s="1334"/>
      <c r="F31" s="1335"/>
      <c r="G31" s="78"/>
      <c r="N31" s="1320"/>
      <c r="O31" s="1320"/>
      <c r="P31" s="1320"/>
    </row>
    <row r="32" spans="1:16" ht="13.95" customHeight="1">
      <c r="A32" s="1336"/>
      <c r="B32" s="1337"/>
      <c r="C32" s="1337"/>
      <c r="D32" s="1337"/>
      <c r="E32" s="1337"/>
      <c r="F32" s="1338"/>
      <c r="G32" s="78"/>
      <c r="H32"/>
      <c r="N32" s="42"/>
      <c r="O32" s="42"/>
      <c r="P32" s="42"/>
    </row>
    <row r="33" spans="1:11" customFormat="1" ht="15" customHeight="1" thickBot="1">
      <c r="A33" s="1154" t="s">
        <v>276</v>
      </c>
      <c r="B33" s="1155"/>
      <c r="C33" s="1155"/>
      <c r="D33" s="1155"/>
      <c r="E33" s="1155"/>
      <c r="F33" s="1156"/>
      <c r="G33" s="78"/>
    </row>
    <row r="34" spans="1:11" customFormat="1" ht="15" customHeight="1">
      <c r="A34" s="1202"/>
      <c r="B34" s="1204"/>
      <c r="C34" s="1312" t="s">
        <v>128</v>
      </c>
      <c r="D34" s="1066"/>
      <c r="E34" s="1312" t="s">
        <v>306</v>
      </c>
      <c r="F34" s="1066"/>
      <c r="G34" s="60"/>
    </row>
    <row r="35" spans="1:11" customFormat="1" ht="24" customHeight="1" thickBot="1">
      <c r="A35" s="1205"/>
      <c r="B35" s="1207"/>
      <c r="C35" s="1313">
        <v>40999</v>
      </c>
      <c r="D35" s="1309"/>
      <c r="E35" s="1308" t="str">
        <f>'Løntabel gældende fra'!D1</f>
        <v>01-11-2025</v>
      </c>
      <c r="F35" s="1309"/>
      <c r="G35" s="60"/>
    </row>
    <row r="36" spans="1:11" customFormat="1" ht="24" customHeight="1" thickBot="1">
      <c r="A36" s="1346" t="s">
        <v>112</v>
      </c>
      <c r="B36" s="1347"/>
      <c r="C36" s="1344" t="s">
        <v>234</v>
      </c>
      <c r="D36" s="1345"/>
      <c r="E36" s="1332" t="s">
        <v>234</v>
      </c>
      <c r="F36" s="1311"/>
      <c r="G36" s="60"/>
    </row>
    <row r="37" spans="1:11" customFormat="1" ht="22.05" customHeight="1">
      <c r="A37" s="1354" t="s">
        <v>389</v>
      </c>
      <c r="B37" s="1355"/>
      <c r="C37" s="1358">
        <v>353412</v>
      </c>
      <c r="D37" s="1359"/>
      <c r="E37" s="1358">
        <f>C37+C37*'Løntabel gældende fra'!$D$7%</f>
        <v>441456.11791199999</v>
      </c>
      <c r="F37" s="1359"/>
      <c r="G37" s="53"/>
      <c r="H37" s="65"/>
    </row>
    <row r="38" spans="1:11" s="57" customFormat="1" ht="22.95" customHeight="1" thickBot="1">
      <c r="A38" s="1356" t="s">
        <v>115</v>
      </c>
      <c r="B38" s="1357"/>
      <c r="C38" s="1371">
        <v>396929</v>
      </c>
      <c r="D38" s="1372"/>
      <c r="E38" s="1382">
        <f>C38+C38*'Løntabel gældende fra'!$D$7%</f>
        <v>495814.33405399998</v>
      </c>
      <c r="F38" s="1383"/>
      <c r="G38" s="53"/>
      <c r="H38" s="65"/>
      <c r="I38" s="65"/>
      <c r="J38" s="65"/>
      <c r="K38" s="65"/>
    </row>
    <row r="39" spans="1:11" s="57" customFormat="1" ht="7.05" customHeight="1">
      <c r="A39" s="1384"/>
      <c r="B39" s="1384"/>
      <c r="C39" s="1384"/>
      <c r="D39" s="1384"/>
      <c r="E39" s="1384"/>
      <c r="F39" s="116"/>
      <c r="G39" s="65"/>
      <c r="H39" s="65"/>
      <c r="I39" s="65"/>
      <c r="J39" s="65"/>
      <c r="K39" s="65"/>
    </row>
    <row r="40" spans="1:11" s="57" customFormat="1" ht="19.95" customHeight="1" thickBot="1">
      <c r="A40" s="596"/>
      <c r="B40" s="597"/>
      <c r="C40" s="596"/>
      <c r="D40" s="598"/>
      <c r="E40" s="598"/>
      <c r="F40" s="598"/>
      <c r="G40" s="65"/>
      <c r="H40" s="65"/>
      <c r="I40" s="65"/>
      <c r="J40" s="65"/>
      <c r="K40" s="65"/>
    </row>
    <row r="41" spans="1:11" s="57" customFormat="1" ht="21.6" thickBot="1">
      <c r="A41" s="1373" t="s">
        <v>160</v>
      </c>
      <c r="B41" s="1374"/>
      <c r="C41" s="1374"/>
      <c r="D41" s="1374"/>
      <c r="E41" s="1374"/>
      <c r="F41" s="1374"/>
      <c r="G41" s="1375"/>
      <c r="H41" s="65"/>
      <c r="I41" s="65"/>
      <c r="J41" s="65"/>
      <c r="K41" s="65"/>
    </row>
    <row r="42" spans="1:11" s="57" customFormat="1" ht="49.95" customHeight="1">
      <c r="A42" s="1102" t="s">
        <v>412</v>
      </c>
      <c r="B42" s="1376" t="s">
        <v>420</v>
      </c>
      <c r="C42" s="1377"/>
      <c r="D42" s="1378"/>
      <c r="E42" s="314" t="s">
        <v>128</v>
      </c>
      <c r="F42" s="590" t="s">
        <v>306</v>
      </c>
      <c r="G42" s="508"/>
      <c r="H42" s="65"/>
      <c r="I42" s="65"/>
      <c r="J42" s="65"/>
      <c r="K42" s="65"/>
    </row>
    <row r="43" spans="1:11" s="57" customFormat="1" ht="38.4" customHeight="1" thickBot="1">
      <c r="A43" s="1103"/>
      <c r="B43" s="1379"/>
      <c r="C43" s="1380"/>
      <c r="D43" s="1381"/>
      <c r="E43" s="702">
        <v>40999</v>
      </c>
      <c r="F43" s="703" t="str">
        <f>'Løntabel gældende fra'!$D$1</f>
        <v>01-11-2025</v>
      </c>
      <c r="G43" s="509"/>
      <c r="H43" s="65"/>
      <c r="I43" s="65"/>
      <c r="J43" s="65"/>
      <c r="K43" s="65"/>
    </row>
    <row r="44" spans="1:11" s="57" customFormat="1" ht="19.8" customHeight="1" thickBot="1">
      <c r="A44" s="1217"/>
      <c r="B44" s="1351" t="s">
        <v>419</v>
      </c>
      <c r="C44" s="1352"/>
      <c r="D44" s="1353"/>
      <c r="E44" s="511">
        <v>130000</v>
      </c>
      <c r="F44" s="512">
        <f>E44+E44*'Løntabel gældende fra'!$D$7%</f>
        <v>162386.38</v>
      </c>
      <c r="G44" s="510"/>
      <c r="H44" s="65"/>
      <c r="I44" s="65"/>
      <c r="J44" s="65"/>
      <c r="K44" s="65"/>
    </row>
    <row r="45" spans="1:11" s="57" customFormat="1" ht="21" thickBot="1">
      <c r="A45" s="199" t="s">
        <v>413</v>
      </c>
      <c r="B45" s="1348" t="s">
        <v>390</v>
      </c>
      <c r="C45" s="1349"/>
      <c r="D45" s="1349"/>
      <c r="E45" s="1349"/>
      <c r="F45" s="1349"/>
      <c r="G45" s="1350"/>
      <c r="H45" s="75"/>
      <c r="I45" s="65"/>
      <c r="J45" s="65"/>
      <c r="K45" s="65"/>
    </row>
    <row r="46" spans="1:11" s="57" customFormat="1" ht="21" thickBot="1">
      <c r="A46" s="1307"/>
      <c r="B46" s="1307"/>
      <c r="C46" s="1307"/>
      <c r="D46" s="1307"/>
      <c r="E46" s="1307"/>
      <c r="F46" s="1307"/>
      <c r="G46" s="962"/>
      <c r="H46" s="75"/>
      <c r="I46" s="65"/>
      <c r="J46" s="65"/>
      <c r="K46" s="65"/>
    </row>
    <row r="47" spans="1:11" ht="21" customHeight="1">
      <c r="A47" s="1151" t="s">
        <v>558</v>
      </c>
      <c r="B47" s="1152"/>
      <c r="C47" s="1152"/>
      <c r="D47" s="1152"/>
      <c r="E47" s="1152"/>
      <c r="F47" s="1153"/>
      <c r="G47" s="963"/>
    </row>
    <row r="48" spans="1:11" ht="21" customHeight="1">
      <c r="A48" s="1301" t="s">
        <v>543</v>
      </c>
      <c r="B48" s="1302"/>
      <c r="C48" s="1302"/>
      <c r="D48" s="1302"/>
      <c r="E48" s="1302"/>
      <c r="F48" s="1303"/>
      <c r="G48" s="964"/>
    </row>
    <row r="49" spans="1:9" s="57" customFormat="1" ht="21" customHeight="1" thickBot="1">
      <c r="A49" s="1304" t="s">
        <v>546</v>
      </c>
      <c r="B49" s="1305"/>
      <c r="C49" s="1305"/>
      <c r="D49" s="1305"/>
      <c r="E49" s="1305"/>
      <c r="F49" s="1306"/>
      <c r="G49" s="965"/>
    </row>
    <row r="50" spans="1:9" s="57" customFormat="1" ht="25.95" customHeight="1" thickBot="1">
      <c r="B50" s="71"/>
      <c r="D50" s="115"/>
      <c r="E50" s="115"/>
      <c r="F50" s="115"/>
      <c r="G50" s="65"/>
      <c r="H50" s="76"/>
      <c r="I50" s="2"/>
    </row>
    <row r="51" spans="1:9" s="57" customFormat="1" ht="31.95" customHeight="1">
      <c r="A51" s="1333" t="s">
        <v>429</v>
      </c>
      <c r="B51" s="1334"/>
      <c r="C51" s="1334"/>
      <c r="D51" s="1334"/>
      <c r="E51" s="1334"/>
      <c r="F51" s="1334"/>
      <c r="G51" s="1335"/>
      <c r="H51" s="76"/>
      <c r="I51" s="2"/>
    </row>
    <row r="52" spans="1:9" s="57" customFormat="1" ht="30" customHeight="1" thickBot="1">
      <c r="A52" s="1298" t="str">
        <f>'Løntabel gældende fra'!$D$1</f>
        <v>01-11-2025</v>
      </c>
      <c r="B52" s="1299"/>
      <c r="C52" s="1299"/>
      <c r="D52" s="1299"/>
      <c r="E52" s="1299"/>
      <c r="F52" s="1299"/>
      <c r="G52" s="1386"/>
      <c r="H52" s="76"/>
    </row>
    <row r="53" spans="1:9" s="57" customFormat="1" ht="46.95" customHeight="1">
      <c r="A53" s="1340" t="s">
        <v>85</v>
      </c>
      <c r="B53" s="1341"/>
      <c r="C53" s="1341"/>
      <c r="D53" s="1341"/>
      <c r="E53" s="1341"/>
      <c r="F53" s="1342"/>
      <c r="G53" s="876"/>
      <c r="H53" s="76"/>
    </row>
    <row r="54" spans="1:9" s="57" customFormat="1" ht="13.95" customHeight="1">
      <c r="A54" s="1390" t="s">
        <v>431</v>
      </c>
      <c r="B54" s="1391"/>
      <c r="C54" s="1391"/>
      <c r="D54" s="1391"/>
      <c r="E54" s="1391"/>
      <c r="F54" s="1392"/>
      <c r="G54" s="877"/>
      <c r="H54" s="76"/>
    </row>
    <row r="55" spans="1:9" s="57" customFormat="1" ht="13.95" customHeight="1">
      <c r="A55" s="1343" t="s">
        <v>430</v>
      </c>
      <c r="B55" s="1343"/>
      <c r="C55" s="1343"/>
      <c r="D55" s="1343"/>
      <c r="E55" s="1343"/>
      <c r="F55" s="1343"/>
      <c r="G55" s="877"/>
      <c r="H55" s="76"/>
    </row>
    <row r="56" spans="1:9" s="57" customFormat="1" ht="13.95" customHeight="1">
      <c r="A56" s="1387" t="s">
        <v>122</v>
      </c>
      <c r="B56" s="1387"/>
      <c r="C56" s="1387"/>
      <c r="D56" s="1387"/>
      <c r="E56" s="1387"/>
      <c r="F56" s="1387"/>
      <c r="G56" s="1387"/>
      <c r="H56" s="76"/>
    </row>
    <row r="57" spans="1:9" s="57" customFormat="1" ht="13.95" customHeight="1">
      <c r="A57" s="80"/>
      <c r="B57" s="80"/>
      <c r="C57" s="80"/>
      <c r="D57" s="80"/>
      <c r="E57" s="80"/>
      <c r="F57" s="80"/>
      <c r="G57" s="80"/>
      <c r="H57" s="76"/>
    </row>
    <row r="58" spans="1:9" s="57" customFormat="1" ht="13.95" customHeight="1">
      <c r="A58" s="1343" t="s">
        <v>123</v>
      </c>
      <c r="B58" s="1388" t="s">
        <v>551</v>
      </c>
      <c r="C58" s="1388"/>
      <c r="D58" s="1388"/>
      <c r="E58" s="1388"/>
      <c r="F58" s="1388"/>
      <c r="G58" s="1388"/>
      <c r="H58" s="76"/>
    </row>
    <row r="59" spans="1:9" s="57" customFormat="1" ht="13.95" customHeight="1">
      <c r="A59" s="1343"/>
      <c r="B59" s="79" t="s">
        <v>552</v>
      </c>
      <c r="C59" s="495"/>
      <c r="D59" s="495"/>
      <c r="E59" s="495"/>
      <c r="F59" s="495"/>
      <c r="G59" s="495"/>
      <c r="H59" s="76"/>
    </row>
    <row r="60" spans="1:9" s="57" customFormat="1" ht="13.95" customHeight="1">
      <c r="A60" s="1343"/>
      <c r="B60" s="1388" t="s">
        <v>553</v>
      </c>
      <c r="C60" s="1388"/>
      <c r="D60" s="1388"/>
      <c r="E60" s="1388"/>
      <c r="F60" s="1388"/>
      <c r="G60" s="1388"/>
      <c r="H60" s="76"/>
    </row>
    <row r="61" spans="1:9" s="57" customFormat="1" ht="13.95" customHeight="1">
      <c r="A61" s="81"/>
      <c r="B61" s="1388"/>
      <c r="C61" s="1388"/>
      <c r="D61" s="1388"/>
      <c r="E61" s="1388"/>
      <c r="F61" s="1388"/>
      <c r="G61" s="1388"/>
      <c r="H61" s="76"/>
    </row>
    <row r="62" spans="1:9" s="57" customFormat="1" ht="13.95" customHeight="1">
      <c r="A62" s="81"/>
      <c r="B62" s="495"/>
      <c r="C62" s="495"/>
      <c r="D62" s="495"/>
      <c r="E62" s="495"/>
      <c r="F62" s="495"/>
      <c r="G62" s="495"/>
      <c r="H62" s="76"/>
    </row>
    <row r="63" spans="1:9" s="57" customFormat="1" ht="16.95" customHeight="1">
      <c r="A63" s="1343" t="s">
        <v>124</v>
      </c>
      <c r="B63" s="1388" t="s">
        <v>554</v>
      </c>
      <c r="C63" s="1388"/>
      <c r="D63" s="1388"/>
      <c r="E63" s="1388"/>
      <c r="F63" s="1388"/>
      <c r="G63" s="1388"/>
      <c r="H63" s="76"/>
    </row>
    <row r="64" spans="1:9" ht="18" customHeight="1">
      <c r="A64" s="1343"/>
      <c r="B64" s="79" t="s">
        <v>555</v>
      </c>
      <c r="C64" s="495"/>
      <c r="D64" s="495"/>
      <c r="E64" s="495"/>
      <c r="F64" s="495"/>
      <c r="G64" s="495"/>
      <c r="H64" s="76"/>
      <c r="I64" s="57"/>
    </row>
    <row r="65" spans="1:9" ht="18" customHeight="1">
      <c r="A65" s="1343"/>
      <c r="B65" s="1388" t="s">
        <v>556</v>
      </c>
      <c r="C65" s="1388"/>
      <c r="D65" s="1388"/>
      <c r="E65" s="1388"/>
      <c r="F65" s="1388"/>
      <c r="G65" s="1388"/>
      <c r="H65" s="76"/>
      <c r="I65" s="57"/>
    </row>
    <row r="66" spans="1:9" ht="19.05" customHeight="1">
      <c r="A66" s="81"/>
      <c r="B66" s="1388"/>
      <c r="C66" s="1388"/>
      <c r="D66" s="1388"/>
      <c r="E66" s="1388"/>
      <c r="F66" s="1388"/>
      <c r="G66" s="1388"/>
      <c r="I66" s="57"/>
    </row>
    <row r="67" spans="1:9" ht="13.95" customHeight="1" thickBot="1">
      <c r="A67" s="65"/>
      <c r="B67" s="65"/>
      <c r="C67" s="65"/>
      <c r="D67" s="65"/>
      <c r="E67" s="65"/>
      <c r="F67" s="65"/>
      <c r="G67" s="65"/>
    </row>
    <row r="68" spans="1:9">
      <c r="A68" s="1102" t="s">
        <v>57</v>
      </c>
      <c r="B68" s="1142" t="s">
        <v>23</v>
      </c>
      <c r="C68" s="1179"/>
      <c r="D68" s="1142" t="s">
        <v>24</v>
      </c>
      <c r="E68" s="1179"/>
      <c r="F68" s="580" t="s">
        <v>309</v>
      </c>
      <c r="G68" s="1102" t="s">
        <v>92</v>
      </c>
    </row>
    <row r="69" spans="1:9" ht="14.4" thickBot="1">
      <c r="A69" s="1103"/>
      <c r="B69" s="583">
        <v>40999</v>
      </c>
      <c r="C69" s="584"/>
      <c r="D69" s="1092" t="str">
        <f>'Løntabel gældende fra'!$D$1</f>
        <v>01-11-2025</v>
      </c>
      <c r="E69" s="1389"/>
      <c r="F69" s="581" t="str">
        <f>'Løntabel gældende fra'!$D$1</f>
        <v>01-11-2025</v>
      </c>
      <c r="G69" s="1103"/>
      <c r="H69" s="45"/>
    </row>
    <row r="70" spans="1:9" ht="14.4" thickBot="1">
      <c r="A70" s="1103"/>
      <c r="B70" s="585" t="s">
        <v>83</v>
      </c>
      <c r="C70" s="582" t="s">
        <v>158</v>
      </c>
      <c r="D70" s="308" t="s">
        <v>83</v>
      </c>
      <c r="E70" s="392" t="s">
        <v>158</v>
      </c>
      <c r="F70" s="392" t="s">
        <v>158</v>
      </c>
      <c r="G70" s="313">
        <v>0.15</v>
      </c>
    </row>
    <row r="71" spans="1:9">
      <c r="A71" s="341">
        <v>31</v>
      </c>
      <c r="B71" s="406">
        <f>+'Statens skalatrin'!N96</f>
        <v>290512.64000000001</v>
      </c>
      <c r="C71" s="406">
        <f>ROUND(B71/12,2)</f>
        <v>24209.39</v>
      </c>
      <c r="D71" s="407">
        <f>ROUND(B71*(1+'Løntabel gældende fra'!$D$7/100),0)</f>
        <v>362887</v>
      </c>
      <c r="E71" s="816">
        <f>ROUND(D71/12,2)</f>
        <v>30240.58</v>
      </c>
      <c r="F71" s="817">
        <f>ROUND(E71*15%,2)</f>
        <v>4536.09</v>
      </c>
      <c r="G71" s="408">
        <f>F71*$G$70</f>
        <v>680.4135</v>
      </c>
    </row>
    <row r="72" spans="1:9">
      <c r="A72" s="402">
        <v>32</v>
      </c>
      <c r="B72" s="175">
        <f>+'Statens skalatrin'!N99</f>
        <v>296125.21000000002</v>
      </c>
      <c r="C72" s="588">
        <f t="shared" ref="C72:C90" si="0">ROUND(B72/12,2)</f>
        <v>24677.1</v>
      </c>
      <c r="D72" s="586">
        <f>ROUND(B72*(1+'Løntabel gældende fra'!$D$7/100),0)</f>
        <v>369898</v>
      </c>
      <c r="E72" s="818">
        <f t="shared" ref="E72:E90" si="1">ROUND(D72/12,2)</f>
        <v>30824.83</v>
      </c>
      <c r="F72" s="809">
        <f t="shared" ref="F72:F90" si="2">ROUND(E72*15%,2)</f>
        <v>4623.72</v>
      </c>
      <c r="G72" s="174">
        <f t="shared" ref="G72:G90" si="3">F72*$G$70</f>
        <v>693.55799999999999</v>
      </c>
    </row>
    <row r="73" spans="1:9">
      <c r="A73" s="402">
        <v>33</v>
      </c>
      <c r="B73" s="175">
        <f>+'Statens skalatrin'!N102</f>
        <v>301881.8</v>
      </c>
      <c r="C73" s="588">
        <f t="shared" si="0"/>
        <v>25156.82</v>
      </c>
      <c r="D73" s="586">
        <f>ROUND(B73*(1+'Løntabel gældende fra'!$D$7/100),0)</f>
        <v>377088</v>
      </c>
      <c r="E73" s="818">
        <f t="shared" si="1"/>
        <v>31424</v>
      </c>
      <c r="F73" s="809">
        <f t="shared" si="2"/>
        <v>4713.6000000000004</v>
      </c>
      <c r="G73" s="174">
        <f t="shared" si="3"/>
        <v>707.04000000000008</v>
      </c>
    </row>
    <row r="74" spans="1:9">
      <c r="A74" s="402">
        <v>34</v>
      </c>
      <c r="B74" s="175">
        <f>+'Statens skalatrin'!N105</f>
        <v>307790.62</v>
      </c>
      <c r="C74" s="588">
        <f t="shared" si="0"/>
        <v>25649.22</v>
      </c>
      <c r="D74" s="586">
        <f>ROUND(B74*(1+'Løntabel gældende fra'!$D$7/100),0)</f>
        <v>384469</v>
      </c>
      <c r="E74" s="818">
        <f t="shared" si="1"/>
        <v>32039.08</v>
      </c>
      <c r="F74" s="809">
        <f t="shared" si="2"/>
        <v>4805.8599999999997</v>
      </c>
      <c r="G74" s="174">
        <f t="shared" si="3"/>
        <v>720.87899999999991</v>
      </c>
    </row>
    <row r="75" spans="1:9">
      <c r="A75" s="402">
        <v>35</v>
      </c>
      <c r="B75" s="175">
        <f>+'Statens skalatrin'!N108</f>
        <v>313854.56</v>
      </c>
      <c r="C75" s="588">
        <f t="shared" si="0"/>
        <v>26154.55</v>
      </c>
      <c r="D75" s="586">
        <f>ROUND(B75*(1+'Løntabel gældende fra'!$D$7/100),0)</f>
        <v>392044</v>
      </c>
      <c r="E75" s="818">
        <f t="shared" si="1"/>
        <v>32670.33</v>
      </c>
      <c r="F75" s="809">
        <f t="shared" si="2"/>
        <v>4900.55</v>
      </c>
      <c r="G75" s="174">
        <f t="shared" si="3"/>
        <v>735.08249999999998</v>
      </c>
    </row>
    <row r="76" spans="1:9">
      <c r="A76" s="402">
        <v>36</v>
      </c>
      <c r="B76" s="175">
        <f>+'Statens skalatrin'!N111</f>
        <v>320074.68</v>
      </c>
      <c r="C76" s="588">
        <f t="shared" si="0"/>
        <v>26672.89</v>
      </c>
      <c r="D76" s="586">
        <f>ROUND(B76*(1+'Løntabel gældende fra'!$D$7/100),0)</f>
        <v>399814</v>
      </c>
      <c r="E76" s="818">
        <f t="shared" si="1"/>
        <v>33317.83</v>
      </c>
      <c r="F76" s="809">
        <f t="shared" si="2"/>
        <v>4997.67</v>
      </c>
      <c r="G76" s="174">
        <f t="shared" si="3"/>
        <v>749.65049999999997</v>
      </c>
    </row>
    <row r="77" spans="1:9">
      <c r="A77" s="402">
        <v>37</v>
      </c>
      <c r="B77" s="175">
        <f>+'Statens skalatrin'!N114</f>
        <v>326457.34000000003</v>
      </c>
      <c r="C77" s="588">
        <f t="shared" si="0"/>
        <v>27204.78</v>
      </c>
      <c r="D77" s="586">
        <f>ROUND(B77*(1+'Løntabel gældende fra'!$D$7/100),0)</f>
        <v>407786</v>
      </c>
      <c r="E77" s="818">
        <f t="shared" si="1"/>
        <v>33982.17</v>
      </c>
      <c r="F77" s="809">
        <f t="shared" si="2"/>
        <v>5097.33</v>
      </c>
      <c r="G77" s="174">
        <f t="shared" si="3"/>
        <v>764.59949999999992</v>
      </c>
    </row>
    <row r="78" spans="1:9">
      <c r="A78" s="402">
        <v>38</v>
      </c>
      <c r="B78" s="175">
        <f>+'Statens skalatrin'!N117</f>
        <v>333128.88</v>
      </c>
      <c r="C78" s="588">
        <f t="shared" si="0"/>
        <v>27760.74</v>
      </c>
      <c r="D78" s="586">
        <f>ROUND(B78*(1+'Løntabel gældende fra'!$D$7/100),0)</f>
        <v>416120</v>
      </c>
      <c r="E78" s="818">
        <f t="shared" si="1"/>
        <v>34676.67</v>
      </c>
      <c r="F78" s="809">
        <f t="shared" si="2"/>
        <v>5201.5</v>
      </c>
      <c r="G78" s="174">
        <f t="shared" si="3"/>
        <v>780.22500000000002</v>
      </c>
    </row>
    <row r="79" spans="1:9">
      <c r="A79" s="402">
        <v>39</v>
      </c>
      <c r="B79" s="175">
        <f>+'Statens skalatrin'!N120</f>
        <v>339989.41</v>
      </c>
      <c r="C79" s="588">
        <f t="shared" si="0"/>
        <v>28332.45</v>
      </c>
      <c r="D79" s="586">
        <f>ROUND(B79*(1+'Løntabel gældende fra'!$D$7/100),0)</f>
        <v>424690</v>
      </c>
      <c r="E79" s="818">
        <f t="shared" si="1"/>
        <v>35390.83</v>
      </c>
      <c r="F79" s="809">
        <f t="shared" si="2"/>
        <v>5308.62</v>
      </c>
      <c r="G79" s="174">
        <f t="shared" si="3"/>
        <v>796.29300000000001</v>
      </c>
    </row>
    <row r="80" spans="1:9">
      <c r="A80" s="402">
        <v>40</v>
      </c>
      <c r="B80" s="175">
        <f>+'Statens skalatrin'!N123</f>
        <v>347027.46</v>
      </c>
      <c r="C80" s="588">
        <f t="shared" si="0"/>
        <v>28918.959999999999</v>
      </c>
      <c r="D80" s="586">
        <f>ROUND(B80*(1+'Løntabel gældende fra'!$D$7/100),0)</f>
        <v>433481</v>
      </c>
      <c r="E80" s="818">
        <f t="shared" si="1"/>
        <v>36123.42</v>
      </c>
      <c r="F80" s="809">
        <f t="shared" si="2"/>
        <v>5418.51</v>
      </c>
      <c r="G80" s="174">
        <f t="shared" si="3"/>
        <v>812.77650000000006</v>
      </c>
    </row>
    <row r="81" spans="1:9">
      <c r="A81" s="402">
        <v>41</v>
      </c>
      <c r="B81" s="175">
        <f>+'Statens skalatrin'!N126</f>
        <v>354249.23</v>
      </c>
      <c r="C81" s="588">
        <f t="shared" si="0"/>
        <v>29520.77</v>
      </c>
      <c r="D81" s="586">
        <f>ROUND(B81*(1+'Løntabel gældende fra'!$D$7/100),0)</f>
        <v>442502</v>
      </c>
      <c r="E81" s="818">
        <f t="shared" si="1"/>
        <v>36875.17</v>
      </c>
      <c r="F81" s="809">
        <f t="shared" si="2"/>
        <v>5531.28</v>
      </c>
      <c r="G81" s="174">
        <f t="shared" si="3"/>
        <v>829.69199999999989</v>
      </c>
    </row>
    <row r="82" spans="1:9" s="57" customFormat="1">
      <c r="A82" s="402">
        <v>42</v>
      </c>
      <c r="B82" s="175">
        <f>+'Statens skalatrin'!N129</f>
        <v>361659.2</v>
      </c>
      <c r="C82" s="588">
        <f t="shared" si="0"/>
        <v>30138.27</v>
      </c>
      <c r="D82" s="586">
        <f>ROUND(B82*(1+'Løntabel gældende fra'!$D$7/100),0)</f>
        <v>451758</v>
      </c>
      <c r="E82" s="818">
        <f t="shared" si="1"/>
        <v>37646.5</v>
      </c>
      <c r="F82" s="809">
        <f t="shared" si="2"/>
        <v>5646.98</v>
      </c>
      <c r="G82" s="174">
        <f t="shared" si="3"/>
        <v>847.04699999999991</v>
      </c>
      <c r="H82" s="2"/>
      <c r="I82" s="2"/>
    </row>
    <row r="83" spans="1:9" s="57" customFormat="1">
      <c r="A83" s="402">
        <v>43</v>
      </c>
      <c r="B83" s="175">
        <f>+'Statens skalatrin'!N132</f>
        <v>369688.53</v>
      </c>
      <c r="C83" s="588">
        <f t="shared" si="0"/>
        <v>30807.38</v>
      </c>
      <c r="D83" s="586">
        <f>ROUND(B83*(1+'Løntabel gældende fra'!$D$7/100),0)</f>
        <v>461788</v>
      </c>
      <c r="E83" s="818">
        <f t="shared" si="1"/>
        <v>38482.33</v>
      </c>
      <c r="F83" s="809">
        <f t="shared" si="2"/>
        <v>5772.35</v>
      </c>
      <c r="G83" s="174">
        <f t="shared" si="3"/>
        <v>865.85250000000008</v>
      </c>
      <c r="H83" s="2"/>
      <c r="I83" s="2"/>
    </row>
    <row r="84" spans="1:9" s="57" customFormat="1">
      <c r="A84" s="402">
        <v>44</v>
      </c>
      <c r="B84" s="175">
        <f>+'Statens skalatrin'!N135</f>
        <v>377937.3</v>
      </c>
      <c r="C84" s="588">
        <f t="shared" si="0"/>
        <v>31494.78</v>
      </c>
      <c r="D84" s="586">
        <f>ROUND(B84*(1+'Løntabel gældende fra'!$D$7/100),0)</f>
        <v>472091</v>
      </c>
      <c r="E84" s="818">
        <f t="shared" si="1"/>
        <v>39340.92</v>
      </c>
      <c r="F84" s="809">
        <f t="shared" si="2"/>
        <v>5901.14</v>
      </c>
      <c r="G84" s="174">
        <f t="shared" si="3"/>
        <v>885.17100000000005</v>
      </c>
      <c r="I84" s="2"/>
    </row>
    <row r="85" spans="1:9">
      <c r="A85" s="402">
        <v>45</v>
      </c>
      <c r="B85" s="175">
        <f>+'Statens skalatrin'!N138</f>
        <v>386414.29</v>
      </c>
      <c r="C85" s="588">
        <f t="shared" si="0"/>
        <v>32201.19</v>
      </c>
      <c r="D85" s="586">
        <f>ROUND(B85*(1+'Løntabel gældende fra'!$D$7/100),0)</f>
        <v>482680</v>
      </c>
      <c r="E85" s="818">
        <f t="shared" si="1"/>
        <v>40223.33</v>
      </c>
      <c r="F85" s="809">
        <f t="shared" si="2"/>
        <v>6033.5</v>
      </c>
      <c r="G85" s="174">
        <f t="shared" si="3"/>
        <v>905.02499999999998</v>
      </c>
      <c r="H85" s="57"/>
      <c r="I85" s="57"/>
    </row>
    <row r="86" spans="1:9" ht="15" customHeight="1">
      <c r="A86" s="402">
        <v>46</v>
      </c>
      <c r="B86" s="175">
        <f>+'Statens skalatrin'!N141</f>
        <v>395124.74</v>
      </c>
      <c r="C86" s="588">
        <f t="shared" si="0"/>
        <v>32927.06</v>
      </c>
      <c r="D86" s="586">
        <f>ROUND(B86*(1+'Løntabel gældende fra'!$D$7/100),0)</f>
        <v>493561</v>
      </c>
      <c r="E86" s="818">
        <f t="shared" si="1"/>
        <v>41130.080000000002</v>
      </c>
      <c r="F86" s="809">
        <f t="shared" si="2"/>
        <v>6169.51</v>
      </c>
      <c r="G86" s="174">
        <f t="shared" si="3"/>
        <v>925.42650000000003</v>
      </c>
      <c r="H86" s="57"/>
      <c r="I86" s="57"/>
    </row>
    <row r="87" spans="1:9" ht="16.05" customHeight="1">
      <c r="A87" s="402">
        <v>47</v>
      </c>
      <c r="B87" s="175">
        <f>+'Statens skalatrin'!N144</f>
        <v>413268.87</v>
      </c>
      <c r="C87" s="588">
        <f t="shared" si="0"/>
        <v>34439.07</v>
      </c>
      <c r="D87" s="586">
        <f>ROUND(B87*(1+'Løntabel gældende fra'!$D$7/100),0)</f>
        <v>516225</v>
      </c>
      <c r="E87" s="818">
        <f t="shared" si="1"/>
        <v>43018.75</v>
      </c>
      <c r="F87" s="809">
        <f t="shared" si="2"/>
        <v>6452.81</v>
      </c>
      <c r="G87" s="174">
        <f t="shared" si="3"/>
        <v>967.92150000000004</v>
      </c>
      <c r="I87" s="57"/>
    </row>
    <row r="88" spans="1:9" s="57" customFormat="1" ht="18" customHeight="1">
      <c r="A88" s="402">
        <v>48</v>
      </c>
      <c r="B88" s="588">
        <f>+'Statens skalatrin'!N147</f>
        <v>441025.75</v>
      </c>
      <c r="C88" s="588">
        <f t="shared" si="0"/>
        <v>36752.15</v>
      </c>
      <c r="D88" s="586">
        <f>ROUND(B88*(1+'Løntabel gældende fra'!$D$7/100),0)</f>
        <v>550897</v>
      </c>
      <c r="E88" s="818">
        <f t="shared" si="1"/>
        <v>45908.08</v>
      </c>
      <c r="F88" s="809">
        <f t="shared" si="2"/>
        <v>6886.21</v>
      </c>
      <c r="G88" s="174">
        <f t="shared" si="3"/>
        <v>1032.9314999999999</v>
      </c>
      <c r="H88" s="2"/>
      <c r="I88" s="2"/>
    </row>
    <row r="89" spans="1:9" s="57" customFormat="1" ht="15" customHeight="1">
      <c r="A89" s="402">
        <v>49</v>
      </c>
      <c r="B89" s="175">
        <f>+'Statens skalatrin'!N150</f>
        <v>471780.9</v>
      </c>
      <c r="C89" s="588">
        <f t="shared" si="0"/>
        <v>39315.08</v>
      </c>
      <c r="D89" s="586">
        <f>ROUND(B89*(1+'Løntabel gældende fra'!$D$7/100),0)</f>
        <v>589314</v>
      </c>
      <c r="E89" s="818">
        <f t="shared" si="1"/>
        <v>49109.5</v>
      </c>
      <c r="F89" s="809">
        <f t="shared" si="2"/>
        <v>7366.43</v>
      </c>
      <c r="G89" s="174">
        <f t="shared" si="3"/>
        <v>1104.9645</v>
      </c>
      <c r="H89" s="2"/>
      <c r="I89" s="2"/>
    </row>
    <row r="90" spans="1:9" ht="14.4" thickBot="1">
      <c r="A90" s="343">
        <v>50</v>
      </c>
      <c r="B90" s="159">
        <f>+'Statens skalatrin'!N153</f>
        <v>521094.47</v>
      </c>
      <c r="C90" s="589">
        <f t="shared" si="0"/>
        <v>43424.54</v>
      </c>
      <c r="D90" s="587">
        <f>ROUND(B90*(1+'Løntabel gældende fra'!$D$7/100),0)</f>
        <v>650913</v>
      </c>
      <c r="E90" s="819">
        <f t="shared" si="1"/>
        <v>54242.75</v>
      </c>
      <c r="F90" s="810">
        <f t="shared" si="2"/>
        <v>8136.41</v>
      </c>
      <c r="G90" s="338">
        <f t="shared" si="3"/>
        <v>1220.4614999999999</v>
      </c>
      <c r="H90" s="57"/>
    </row>
    <row r="91" spans="1:9">
      <c r="A91" s="1385" t="s">
        <v>223</v>
      </c>
      <c r="B91" s="1385"/>
      <c r="C91" s="1385"/>
      <c r="D91" s="1385"/>
      <c r="E91" s="1385"/>
      <c r="F91" s="1385"/>
      <c r="G91" s="1385"/>
      <c r="H91" s="57"/>
      <c r="I91" s="57"/>
    </row>
    <row r="92" spans="1:9">
      <c r="A92" s="56"/>
      <c r="B92" s="56"/>
      <c r="C92" s="56"/>
      <c r="D92" s="56"/>
      <c r="E92" s="56"/>
      <c r="F92" s="56"/>
      <c r="G92" s="56"/>
      <c r="I92" s="57"/>
    </row>
    <row r="93" spans="1:9">
      <c r="A93" s="1331"/>
      <c r="B93" s="1331"/>
      <c r="C93" s="1331"/>
      <c r="D93" s="1331"/>
      <c r="E93" s="1331"/>
      <c r="F93" s="1331"/>
      <c r="G93" s="1331"/>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mergeCells count="73">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 ref="C38:D38"/>
    <mergeCell ref="A41:G41"/>
    <mergeCell ref="A42:A44"/>
    <mergeCell ref="B42:D43"/>
    <mergeCell ref="E37:F37"/>
    <mergeCell ref="E38:F38"/>
    <mergeCell ref="A39:E39"/>
    <mergeCell ref="A15:F16"/>
    <mergeCell ref="C18:D18"/>
    <mergeCell ref="E20:F20"/>
    <mergeCell ref="A11:B11"/>
    <mergeCell ref="C9:D9"/>
    <mergeCell ref="E9:F9"/>
    <mergeCell ref="A13:B13"/>
    <mergeCell ref="A10:B10"/>
    <mergeCell ref="A12:B12"/>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E7:F7"/>
    <mergeCell ref="A9:B9"/>
    <mergeCell ref="A2:F2"/>
    <mergeCell ref="A6:F6"/>
    <mergeCell ref="N4:P4"/>
    <mergeCell ref="A7:B8"/>
    <mergeCell ref="A4:F5"/>
    <mergeCell ref="C8:D8"/>
    <mergeCell ref="E8:F8"/>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F10" sqref="F10:G10"/>
    </sheetView>
  </sheetViews>
  <sheetFormatPr defaultColWidth="8.77734375" defaultRowHeight="13.8"/>
  <cols>
    <col min="1" max="1" width="10.44140625" style="2" customWidth="1"/>
    <col min="2" max="2" width="12.77734375" style="2" customWidth="1"/>
    <col min="3" max="3" width="12.6640625" style="2" customWidth="1"/>
    <col min="4" max="4" width="13.109375" style="2" customWidth="1"/>
    <col min="5" max="5" width="13.33203125" style="2" customWidth="1"/>
    <col min="6" max="6" width="11.44140625" style="2" customWidth="1"/>
    <col min="7" max="7" width="13.44140625" style="2" customWidth="1"/>
    <col min="8" max="16384" width="8.77734375" style="2"/>
  </cols>
  <sheetData>
    <row r="1" spans="1:9" ht="45" customHeight="1" thickBot="1">
      <c r="A1" s="1436" t="s">
        <v>344</v>
      </c>
      <c r="B1" s="1437"/>
      <c r="C1" s="1437"/>
      <c r="D1" s="1437"/>
      <c r="E1" s="1437"/>
      <c r="F1" s="1437"/>
      <c r="G1" s="1438"/>
      <c r="H1" s="629"/>
      <c r="I1" s="629"/>
    </row>
    <row r="2" spans="1:9" ht="19.5" customHeight="1" thickBot="1">
      <c r="A2" s="1240" t="str">
        <f>'Forside 1'!A6:I6</f>
        <v>Gældende fra 1. november 2025</v>
      </c>
      <c r="B2" s="1241"/>
      <c r="C2" s="1241"/>
      <c r="D2" s="1241"/>
      <c r="E2" s="1241"/>
      <c r="F2" s="1241"/>
      <c r="G2" s="1242"/>
    </row>
    <row r="3" spans="1:9" ht="11.25" customHeight="1" thickBot="1">
      <c r="A3" s="612"/>
      <c r="B3" s="612"/>
      <c r="C3" s="612"/>
      <c r="D3" s="612"/>
    </row>
    <row r="4" spans="1:9" s="613" customFormat="1" ht="21.75" customHeight="1" thickBot="1">
      <c r="A4" s="1605" t="s">
        <v>343</v>
      </c>
      <c r="B4" s="1606"/>
      <c r="C4" s="1606"/>
      <c r="D4" s="1606"/>
      <c r="E4" s="1606"/>
      <c r="F4" s="1606"/>
      <c r="G4" s="1607"/>
      <c r="H4" s="596"/>
    </row>
    <row r="5" spans="1:9" ht="8.25" customHeight="1" thickBot="1">
      <c r="A5" s="1608"/>
      <c r="B5" s="1608"/>
      <c r="C5" s="1608"/>
      <c r="D5" s="1608"/>
      <c r="E5" s="1608"/>
      <c r="F5" s="1608"/>
      <c r="G5" s="1608"/>
      <c r="H5" s="57"/>
    </row>
    <row r="6" spans="1:9" ht="16.5" customHeight="1">
      <c r="A6" s="1439" t="s">
        <v>234</v>
      </c>
      <c r="B6" s="1440"/>
      <c r="C6" s="1440"/>
      <c r="D6" s="1440"/>
      <c r="E6" s="1440"/>
      <c r="F6" s="1440"/>
      <c r="G6" s="1441"/>
      <c r="H6" s="200"/>
    </row>
    <row r="7" spans="1:9" ht="18.75" customHeight="1" thickBot="1">
      <c r="A7" s="1442" t="s">
        <v>468</v>
      </c>
      <c r="B7" s="1443"/>
      <c r="C7" s="1443"/>
      <c r="D7" s="1443"/>
      <c r="E7" s="1443"/>
      <c r="F7" s="1443"/>
      <c r="G7" s="1444"/>
      <c r="H7" s="630"/>
    </row>
    <row r="8" spans="1:9" ht="15" customHeight="1">
      <c r="A8" s="1457" t="s">
        <v>342</v>
      </c>
      <c r="B8" s="1410"/>
      <c r="C8" s="1434" t="s">
        <v>128</v>
      </c>
      <c r="D8" s="1409" t="s">
        <v>306</v>
      </c>
      <c r="E8" s="1409" t="s">
        <v>253</v>
      </c>
      <c r="F8" s="1399" t="s">
        <v>564</v>
      </c>
      <c r="G8" s="1400"/>
      <c r="H8" s="57"/>
    </row>
    <row r="9" spans="1:9" ht="28.05" customHeight="1">
      <c r="A9" s="1458"/>
      <c r="B9" s="1412"/>
      <c r="C9" s="1435"/>
      <c r="D9" s="1411"/>
      <c r="E9" s="1411"/>
      <c r="F9" s="1401"/>
      <c r="G9" s="1402"/>
    </row>
    <row r="10" spans="1:9" ht="14.4" thickBot="1">
      <c r="A10" s="1549"/>
      <c r="B10" s="1550"/>
      <c r="C10" s="902">
        <v>40999</v>
      </c>
      <c r="D10" s="903" t="str">
        <f>'Løntabel gældende fra'!$D$1</f>
        <v>01-11-2025</v>
      </c>
      <c r="E10" s="903" t="str">
        <f>'Løntabel gældende fra'!$D$1</f>
        <v>01-11-2025</v>
      </c>
      <c r="F10" s="1405" t="s">
        <v>532</v>
      </c>
      <c r="G10" s="1406"/>
    </row>
    <row r="11" spans="1:9">
      <c r="A11" s="1367">
        <v>1</v>
      </c>
      <c r="B11" s="1368"/>
      <c r="C11" s="820">
        <v>285240</v>
      </c>
      <c r="D11" s="821">
        <f>ROUND(C11*(1+'Løntabel gældende fra'!$D$7/100),2)</f>
        <v>356300.7</v>
      </c>
      <c r="E11" s="821">
        <f>ROUND(D11/12,2)</f>
        <v>29691.73</v>
      </c>
      <c r="F11" s="1426">
        <f>ROUND(E11*0.1807,2)</f>
        <v>5365.3</v>
      </c>
      <c r="G11" s="1161"/>
    </row>
    <row r="12" spans="1:9">
      <c r="A12" s="1369">
        <v>2</v>
      </c>
      <c r="B12" s="1370"/>
      <c r="C12" s="822">
        <v>285240</v>
      </c>
      <c r="D12" s="631">
        <f>ROUND(C12*(1+'Løntabel gældende fra'!$D$7/100),2)</f>
        <v>356300.7</v>
      </c>
      <c r="E12" s="631">
        <f t="shared" ref="E12:E15" si="0">ROUND(D12/12,2)</f>
        <v>29691.73</v>
      </c>
      <c r="F12" s="1427">
        <f t="shared" ref="F12:F15" si="1">ROUND(E12*0.1807,2)</f>
        <v>5365.3</v>
      </c>
      <c r="G12" s="1084"/>
    </row>
    <row r="13" spans="1:9">
      <c r="A13" s="1369">
        <v>3</v>
      </c>
      <c r="B13" s="1370"/>
      <c r="C13" s="822">
        <v>307417</v>
      </c>
      <c r="D13" s="631">
        <f>ROUND(C13*(1+'Løntabel gældende fra'!$D$7/100),2)</f>
        <v>384002.57</v>
      </c>
      <c r="E13" s="631">
        <f t="shared" si="0"/>
        <v>32000.21</v>
      </c>
      <c r="F13" s="1427">
        <f t="shared" si="1"/>
        <v>5782.44</v>
      </c>
      <c r="G13" s="1084"/>
    </row>
    <row r="14" spans="1:9">
      <c r="A14" s="1369">
        <v>4</v>
      </c>
      <c r="B14" s="1370"/>
      <c r="C14" s="822">
        <v>327643</v>
      </c>
      <c r="D14" s="631">
        <f>ROUND(C14*(1+'Løntabel gældende fra'!$D$7/100),2)</f>
        <v>409267.39</v>
      </c>
      <c r="E14" s="631">
        <f t="shared" si="0"/>
        <v>34105.620000000003</v>
      </c>
      <c r="F14" s="1427">
        <f t="shared" si="1"/>
        <v>6162.89</v>
      </c>
      <c r="G14" s="1084"/>
    </row>
    <row r="15" spans="1:9" ht="14.4" thickBot="1">
      <c r="A15" s="1365">
        <v>5</v>
      </c>
      <c r="B15" s="1366"/>
      <c r="C15" s="823">
        <v>347571</v>
      </c>
      <c r="D15" s="824">
        <f>ROUND(C15*(1+'Løntabel gældende fra'!$D$7/100),2)</f>
        <v>434159.97</v>
      </c>
      <c r="E15" s="824">
        <f t="shared" si="0"/>
        <v>36180</v>
      </c>
      <c r="F15" s="1428">
        <f t="shared" si="1"/>
        <v>6537.73</v>
      </c>
      <c r="G15" s="1133"/>
    </row>
    <row r="16" spans="1:9">
      <c r="A16" s="1551" t="s">
        <v>370</v>
      </c>
      <c r="B16" s="1551"/>
      <c r="C16" s="1551"/>
      <c r="D16" s="1551"/>
      <c r="E16" s="1551"/>
      <c r="F16" s="1551"/>
      <c r="G16" s="1551"/>
      <c r="H16" s="1551"/>
    </row>
    <row r="17" spans="1:9" ht="14.4" thickBot="1">
      <c r="I17" s="611"/>
    </row>
    <row r="18" spans="1:9" ht="14.4" thickBot="1">
      <c r="A18" s="1553" t="s">
        <v>378</v>
      </c>
      <c r="B18" s="1554"/>
      <c r="C18" s="1555"/>
      <c r="D18" s="1553" t="s">
        <v>360</v>
      </c>
      <c r="E18" s="1554"/>
      <c r="F18" s="1555"/>
      <c r="G18" s="592"/>
    </row>
    <row r="19" spans="1:9" ht="14.4" thickBot="1">
      <c r="A19" s="667" t="s">
        <v>361</v>
      </c>
      <c r="B19" s="1546" t="s">
        <v>93</v>
      </c>
      <c r="C19" s="1547"/>
      <c r="D19" s="667" t="s">
        <v>361</v>
      </c>
      <c r="E19" s="1546" t="s">
        <v>93</v>
      </c>
      <c r="F19" s="1548"/>
      <c r="G19" s="592"/>
    </row>
    <row r="20" spans="1:9" ht="15.75" customHeight="1">
      <c r="A20" s="668">
        <v>2</v>
      </c>
      <c r="B20" s="1545" t="s">
        <v>362</v>
      </c>
      <c r="C20" s="1552"/>
      <c r="D20" s="668">
        <v>1</v>
      </c>
      <c r="E20" s="1545" t="s">
        <v>365</v>
      </c>
      <c r="F20" s="1394"/>
      <c r="G20" s="592"/>
    </row>
    <row r="21" spans="1:9">
      <c r="A21" s="669">
        <v>4</v>
      </c>
      <c r="B21" s="1512" t="s">
        <v>363</v>
      </c>
      <c r="C21" s="1544"/>
      <c r="D21" s="669">
        <v>3</v>
      </c>
      <c r="E21" s="1512" t="s">
        <v>366</v>
      </c>
      <c r="F21" s="1513"/>
      <c r="G21" s="592"/>
    </row>
    <row r="22" spans="1:9" ht="14.4" thickBot="1">
      <c r="A22" s="670">
        <v>5</v>
      </c>
      <c r="B22" s="1464" t="s">
        <v>364</v>
      </c>
      <c r="C22" s="1514"/>
      <c r="D22" s="670">
        <v>5</v>
      </c>
      <c r="E22" s="1464" t="s">
        <v>367</v>
      </c>
      <c r="F22" s="1465"/>
      <c r="G22" s="592"/>
    </row>
    <row r="23" spans="1:9" ht="13.95" customHeight="1" thickBot="1">
      <c r="A23" s="609"/>
      <c r="B23" s="609"/>
      <c r="C23" s="592"/>
      <c r="D23" s="592"/>
      <c r="E23" s="610"/>
      <c r="F23" s="592"/>
      <c r="G23" s="592"/>
    </row>
    <row r="24" spans="1:9" ht="22.5" customHeight="1">
      <c r="A24" s="1439" t="s">
        <v>341</v>
      </c>
      <c r="B24" s="1440"/>
      <c r="C24" s="1440"/>
      <c r="D24" s="1440"/>
      <c r="E24" s="1440"/>
      <c r="F24" s="1440"/>
      <c r="G24" s="1441"/>
    </row>
    <row r="25" spans="1:9" ht="20.25" customHeight="1" thickBot="1">
      <c r="A25" s="1442" t="s">
        <v>468</v>
      </c>
      <c r="B25" s="1443"/>
      <c r="C25" s="1443"/>
      <c r="D25" s="1443"/>
      <c r="E25" s="1443"/>
      <c r="F25" s="1443"/>
      <c r="G25" s="1444"/>
    </row>
    <row r="26" spans="1:9" ht="15.75" customHeight="1">
      <c r="A26" s="1457" t="s">
        <v>91</v>
      </c>
      <c r="B26" s="1410"/>
      <c r="C26" s="1434" t="s">
        <v>128</v>
      </c>
      <c r="D26" s="1409" t="s">
        <v>306</v>
      </c>
      <c r="E26" s="1409" t="s">
        <v>253</v>
      </c>
      <c r="F26" s="1399" t="str">
        <f>F8</f>
        <v>Pensionsbidrag til AkademikerPension</v>
      </c>
      <c r="G26" s="1400"/>
    </row>
    <row r="27" spans="1:9" ht="15" customHeight="1">
      <c r="A27" s="1458"/>
      <c r="B27" s="1412"/>
      <c r="C27" s="1435"/>
      <c r="D27" s="1411"/>
      <c r="E27" s="1411"/>
      <c r="F27" s="1401"/>
      <c r="G27" s="1402"/>
    </row>
    <row r="28" spans="1:9" ht="14.4" thickBot="1">
      <c r="A28" s="1397"/>
      <c r="B28" s="1398"/>
      <c r="C28" s="664">
        <v>40999</v>
      </c>
      <c r="D28" s="632" t="str">
        <f>'Løntabel gældende fra'!$D$1</f>
        <v>01-11-2025</v>
      </c>
      <c r="E28" s="632" t="str">
        <f>'Løntabel gældende fra'!$D$1</f>
        <v>01-11-2025</v>
      </c>
      <c r="F28" s="1403">
        <v>0.1807</v>
      </c>
      <c r="G28" s="1404"/>
    </row>
    <row r="29" spans="1:9">
      <c r="A29" s="1466" t="s">
        <v>340</v>
      </c>
      <c r="B29" s="1467"/>
      <c r="C29" s="825">
        <v>38000</v>
      </c>
      <c r="D29" s="826">
        <f>ROUND(C29*(1+'Løntabel gældende fra'!$D$7/100),2)</f>
        <v>47466.79</v>
      </c>
      <c r="E29" s="826">
        <f>ROUND(D29/12,2)</f>
        <v>3955.57</v>
      </c>
      <c r="F29" s="1446">
        <f>ROUND(E29*0.1807,2)</f>
        <v>714.77</v>
      </c>
      <c r="G29" s="1447"/>
    </row>
    <row r="30" spans="1:9" ht="14.25" customHeight="1">
      <c r="A30" s="1369" t="s">
        <v>339</v>
      </c>
      <c r="B30" s="1370"/>
      <c r="C30" s="827">
        <v>38000</v>
      </c>
      <c r="D30" s="634">
        <f>ROUND(C30*(1+'Løntabel gældende fra'!$D$7/100),2)</f>
        <v>47466.79</v>
      </c>
      <c r="E30" s="634">
        <f t="shared" ref="E30:E35" si="2">ROUND(D30/12,2)</f>
        <v>3955.57</v>
      </c>
      <c r="F30" s="1448">
        <f t="shared" ref="F30:F35" si="3">ROUND(E30*0.1807,2)</f>
        <v>714.77</v>
      </c>
      <c r="G30" s="1449"/>
    </row>
    <row r="31" spans="1:9">
      <c r="A31" s="1369" t="s">
        <v>338</v>
      </c>
      <c r="B31" s="1370"/>
      <c r="C31" s="827">
        <v>50000</v>
      </c>
      <c r="D31" s="634">
        <f>ROUND(C31*(1+'Løntabel gældende fra'!$D$7/100),2)</f>
        <v>62456.3</v>
      </c>
      <c r="E31" s="634">
        <f t="shared" si="2"/>
        <v>5204.6899999999996</v>
      </c>
      <c r="F31" s="1448">
        <f t="shared" si="3"/>
        <v>940.49</v>
      </c>
      <c r="G31" s="1449"/>
    </row>
    <row r="32" spans="1:9">
      <c r="A32" s="1369" t="s">
        <v>337</v>
      </c>
      <c r="B32" s="1370"/>
      <c r="C32" s="827">
        <v>50000</v>
      </c>
      <c r="D32" s="634">
        <f>ROUND(C32*(1+'Løntabel gældende fra'!$D$7/100),2)</f>
        <v>62456.3</v>
      </c>
      <c r="E32" s="634">
        <f t="shared" si="2"/>
        <v>5204.6899999999996</v>
      </c>
      <c r="F32" s="1448">
        <f t="shared" si="3"/>
        <v>940.49</v>
      </c>
      <c r="G32" s="1449"/>
    </row>
    <row r="33" spans="1:9" ht="15" customHeight="1">
      <c r="A33" s="1363" t="s">
        <v>336</v>
      </c>
      <c r="B33" s="1364"/>
      <c r="C33" s="827">
        <v>50000</v>
      </c>
      <c r="D33" s="634">
        <f>ROUND(C33*(1+'Løntabel gældende fra'!$D$7/100),2)</f>
        <v>62456.3</v>
      </c>
      <c r="E33" s="634">
        <f t="shared" si="2"/>
        <v>5204.6899999999996</v>
      </c>
      <c r="F33" s="1448">
        <f t="shared" si="3"/>
        <v>940.49</v>
      </c>
      <c r="G33" s="1449"/>
    </row>
    <row r="34" spans="1:9" ht="15.75" customHeight="1">
      <c r="A34" s="1369" t="s">
        <v>359</v>
      </c>
      <c r="B34" s="1370"/>
      <c r="C34" s="827">
        <v>50000</v>
      </c>
      <c r="D34" s="634">
        <f>ROUND(C34*(1+'Løntabel gældende fra'!$D$7/100),2)</f>
        <v>62456.3</v>
      </c>
      <c r="E34" s="634">
        <f t="shared" si="2"/>
        <v>5204.6899999999996</v>
      </c>
      <c r="F34" s="1448">
        <f t="shared" si="3"/>
        <v>940.49</v>
      </c>
      <c r="G34" s="1449"/>
    </row>
    <row r="35" spans="1:9" ht="15.75" customHeight="1" thickBot="1">
      <c r="A35" s="1459" t="s">
        <v>335</v>
      </c>
      <c r="B35" s="1408"/>
      <c r="C35" s="828">
        <v>72500</v>
      </c>
      <c r="D35" s="829">
        <f>ROUND(C35*(1+'Løntabel gældende fra'!$D$7/100),2)</f>
        <v>90561.64</v>
      </c>
      <c r="E35" s="829">
        <f t="shared" si="2"/>
        <v>7546.8</v>
      </c>
      <c r="F35" s="1450">
        <f t="shared" si="3"/>
        <v>1363.71</v>
      </c>
      <c r="G35" s="1451"/>
    </row>
    <row r="36" spans="1:9" ht="15.75" customHeight="1" thickBot="1">
      <c r="A36" s="608"/>
      <c r="B36" s="608"/>
      <c r="C36" s="608"/>
      <c r="D36" s="608"/>
      <c r="E36" s="608"/>
      <c r="F36" s="608"/>
      <c r="G36" s="608"/>
    </row>
    <row r="37" spans="1:9" ht="17.25" customHeight="1">
      <c r="A37" s="1254" t="s">
        <v>334</v>
      </c>
      <c r="B37" s="1255"/>
      <c r="C37" s="1255"/>
      <c r="D37" s="1255"/>
      <c r="E37" s="1255"/>
      <c r="F37" s="1255"/>
      <c r="G37" s="1256"/>
    </row>
    <row r="38" spans="1:9" ht="17.25" customHeight="1" thickBot="1">
      <c r="A38" s="1264" t="s">
        <v>467</v>
      </c>
      <c r="B38" s="1265"/>
      <c r="C38" s="1265"/>
      <c r="D38" s="1265"/>
      <c r="E38" s="1265"/>
      <c r="F38" s="1265"/>
      <c r="G38" s="1266"/>
    </row>
    <row r="39" spans="1:9" ht="28.05" customHeight="1">
      <c r="A39" s="1457" t="s">
        <v>358</v>
      </c>
      <c r="B39" s="1409"/>
      <c r="C39" s="1410" t="s">
        <v>333</v>
      </c>
      <c r="D39" s="1434" t="s">
        <v>128</v>
      </c>
      <c r="E39" s="1409" t="s">
        <v>306</v>
      </c>
      <c r="F39" s="1429" t="s">
        <v>253</v>
      </c>
      <c r="G39" s="1455" t="s">
        <v>446</v>
      </c>
    </row>
    <row r="40" spans="1:9" ht="17.25" customHeight="1">
      <c r="A40" s="1458"/>
      <c r="B40" s="1411"/>
      <c r="C40" s="1412"/>
      <c r="D40" s="1435"/>
      <c r="E40" s="1411"/>
      <c r="F40" s="1430"/>
      <c r="G40" s="1456"/>
    </row>
    <row r="41" spans="1:9" ht="13.95" customHeight="1" thickBot="1">
      <c r="A41" s="1459"/>
      <c r="B41" s="1407"/>
      <c r="C41" s="1408"/>
      <c r="D41" s="663">
        <v>40999</v>
      </c>
      <c r="E41" s="636" t="str">
        <f>'Løntabel gældende fra'!$D$1</f>
        <v>01-11-2025</v>
      </c>
      <c r="F41" s="636" t="str">
        <f>E41</f>
        <v>01-11-2025</v>
      </c>
      <c r="G41" s="637">
        <v>0.1807</v>
      </c>
      <c r="H41" s="592"/>
    </row>
    <row r="42" spans="1:9" ht="13.95" customHeight="1">
      <c r="A42" s="1515" t="s">
        <v>332</v>
      </c>
      <c r="B42" s="1516"/>
      <c r="C42" s="639" t="s">
        <v>331</v>
      </c>
      <c r="D42" s="638">
        <v>4300</v>
      </c>
      <c r="E42" s="634">
        <f>ROUND(D42*(1+'Løntabel gældende fra'!$D$7/100),2)</f>
        <v>5371.24</v>
      </c>
      <c r="F42" s="634">
        <f>ROUND(E42/12,2)</f>
        <v>447.6</v>
      </c>
      <c r="G42" s="635">
        <f>ROUND(F42*0.1807,2)</f>
        <v>80.88</v>
      </c>
    </row>
    <row r="43" spans="1:9" ht="14.55" customHeight="1">
      <c r="A43" s="1475" t="s">
        <v>328</v>
      </c>
      <c r="B43" s="1476"/>
      <c r="C43" s="640" t="s">
        <v>330</v>
      </c>
      <c r="D43" s="633">
        <v>6900</v>
      </c>
      <c r="E43" s="634">
        <f>ROUND(D43*(1+'Løntabel gældende fra'!$D$7/100),2)</f>
        <v>8618.9699999999993</v>
      </c>
      <c r="F43" s="634">
        <f t="shared" ref="F43:F47" si="4">ROUND(E43/12,2)</f>
        <v>718.25</v>
      </c>
      <c r="G43" s="635">
        <f t="shared" ref="G43:G47" si="5">ROUND(F43*0.1807,2)</f>
        <v>129.79</v>
      </c>
    </row>
    <row r="44" spans="1:9" ht="13.95" customHeight="1">
      <c r="A44" s="1475" t="s">
        <v>328</v>
      </c>
      <c r="B44" s="1476"/>
      <c r="C44" s="640" t="s">
        <v>329</v>
      </c>
      <c r="D44" s="606">
        <v>12600</v>
      </c>
      <c r="E44" s="634">
        <f>ROUND(D44*(1+'Løntabel gældende fra'!$D$7/100),2)</f>
        <v>15738.99</v>
      </c>
      <c r="F44" s="634">
        <f t="shared" si="4"/>
        <v>1311.58</v>
      </c>
      <c r="G44" s="635">
        <f t="shared" si="5"/>
        <v>237</v>
      </c>
    </row>
    <row r="45" spans="1:9" ht="15.75" customHeight="1">
      <c r="A45" s="1475" t="s">
        <v>328</v>
      </c>
      <c r="B45" s="1476"/>
      <c r="C45" s="640" t="s">
        <v>327</v>
      </c>
      <c r="D45" s="606">
        <v>19500</v>
      </c>
      <c r="E45" s="634">
        <f>ROUND(D45*(1+'Løntabel gældende fra'!$D$7/100),2)</f>
        <v>24357.96</v>
      </c>
      <c r="F45" s="634">
        <f t="shared" si="4"/>
        <v>2029.83</v>
      </c>
      <c r="G45" s="635">
        <f t="shared" si="5"/>
        <v>366.79</v>
      </c>
    </row>
    <row r="46" spans="1:9" ht="32.25" customHeight="1">
      <c r="A46" s="1475" t="s">
        <v>325</v>
      </c>
      <c r="B46" s="1476"/>
      <c r="C46" s="641" t="s">
        <v>326</v>
      </c>
      <c r="D46" s="633">
        <v>19500</v>
      </c>
      <c r="E46" s="634">
        <f>ROUND(D46*(1+'Løntabel gældende fra'!$D$7/100),2)</f>
        <v>24357.96</v>
      </c>
      <c r="F46" s="634">
        <f t="shared" si="4"/>
        <v>2029.83</v>
      </c>
      <c r="G46" s="635">
        <f t="shared" si="5"/>
        <v>366.79</v>
      </c>
    </row>
    <row r="47" spans="1:9" ht="29.25" customHeight="1" thickBot="1">
      <c r="A47" s="1537" t="s">
        <v>325</v>
      </c>
      <c r="B47" s="1538"/>
      <c r="C47" s="642" t="s">
        <v>369</v>
      </c>
      <c r="D47" s="607">
        <v>39000</v>
      </c>
      <c r="E47" s="634">
        <f>ROUND(D47*(1+'Løntabel gældende fra'!$D$7/100),2)</f>
        <v>48715.91</v>
      </c>
      <c r="F47" s="634">
        <f t="shared" si="4"/>
        <v>4059.66</v>
      </c>
      <c r="G47" s="635">
        <f t="shared" si="5"/>
        <v>733.58</v>
      </c>
    </row>
    <row r="48" spans="1:9" ht="13.95" customHeight="1" thickBot="1">
      <c r="A48" s="595"/>
      <c r="B48" s="595"/>
      <c r="C48" s="595"/>
      <c r="D48" s="595"/>
      <c r="E48" s="595"/>
      <c r="F48" s="595"/>
      <c r="G48" s="595"/>
      <c r="H48" s="592"/>
      <c r="I48" s="592"/>
    </row>
    <row r="49" spans="1:10" ht="16.5" customHeight="1">
      <c r="A49" s="1254" t="s">
        <v>324</v>
      </c>
      <c r="B49" s="1255"/>
      <c r="C49" s="1255"/>
      <c r="D49" s="1255"/>
      <c r="E49" s="1255"/>
      <c r="F49" s="1255"/>
      <c r="G49" s="1256"/>
    </row>
    <row r="50" spans="1:10" ht="16.05" customHeight="1" thickBot="1">
      <c r="A50" s="1468" t="s">
        <v>346</v>
      </c>
      <c r="B50" s="1469"/>
      <c r="C50" s="1469"/>
      <c r="D50" s="1469"/>
      <c r="E50" s="1469"/>
      <c r="F50" s="1469"/>
      <c r="G50" s="1470"/>
    </row>
    <row r="51" spans="1:10" ht="16.5" customHeight="1">
      <c r="A51" s="1471" t="s">
        <v>128</v>
      </c>
      <c r="B51" s="1472"/>
      <c r="C51" s="1399" t="s">
        <v>306</v>
      </c>
      <c r="D51" s="1472"/>
      <c r="E51" s="1409" t="str">
        <f>F8</f>
        <v>Pensionsbidrag til AkademikerPension</v>
      </c>
      <c r="F51" s="1409"/>
      <c r="G51" s="1410"/>
    </row>
    <row r="52" spans="1:10" ht="15" customHeight="1">
      <c r="A52" s="1473"/>
      <c r="B52" s="1474"/>
      <c r="C52" s="1401"/>
      <c r="D52" s="1474"/>
      <c r="E52" s="1411"/>
      <c r="F52" s="1411"/>
      <c r="G52" s="1412"/>
    </row>
    <row r="53" spans="1:10" ht="14.4" thickBot="1">
      <c r="A53" s="1460">
        <v>40999</v>
      </c>
      <c r="B53" s="1461"/>
      <c r="C53" s="1462" t="str">
        <f>'Løntabel gældende fra'!$D$1</f>
        <v>01-11-2025</v>
      </c>
      <c r="D53" s="1463"/>
      <c r="E53" s="1407" t="s">
        <v>532</v>
      </c>
      <c r="F53" s="1407"/>
      <c r="G53" s="1408"/>
    </row>
    <row r="54" spans="1:10" ht="21.75" customHeight="1" thickBot="1">
      <c r="A54" s="1431">
        <v>21900</v>
      </c>
      <c r="B54" s="1432"/>
      <c r="C54" s="1433">
        <f>ROUND(A54*(1+'Løntabel gældende fra'!$D$7/100),2)</f>
        <v>27355.86</v>
      </c>
      <c r="D54" s="1432"/>
      <c r="E54" s="1452">
        <f>ROUND(C54*0.1807,2)</f>
        <v>4943.2</v>
      </c>
      <c r="F54" s="1452"/>
      <c r="G54" s="1453"/>
    </row>
    <row r="55" spans="1:10" ht="16.5" customHeight="1">
      <c r="A55" s="7" t="s">
        <v>323</v>
      </c>
      <c r="B55" s="594"/>
      <c r="C55" s="594"/>
      <c r="D55" s="594"/>
      <c r="E55" s="594"/>
      <c r="F55" s="594"/>
      <c r="G55" s="594"/>
    </row>
    <row r="56" spans="1:10" ht="21" customHeight="1" thickBot="1">
      <c r="A56" s="14"/>
      <c r="B56" s="14"/>
      <c r="C56" s="14"/>
      <c r="D56" s="14"/>
      <c r="E56" s="14"/>
      <c r="F56" s="14"/>
      <c r="G56" s="14"/>
    </row>
    <row r="57" spans="1:10" ht="19.5" customHeight="1">
      <c r="A57" s="1582" t="s">
        <v>322</v>
      </c>
      <c r="B57" s="1583"/>
      <c r="C57" s="1583"/>
      <c r="D57" s="1583"/>
      <c r="E57" s="1583"/>
      <c r="F57" s="1583"/>
      <c r="G57" s="1584"/>
    </row>
    <row r="58" spans="1:10" ht="20.25" customHeight="1" thickBot="1">
      <c r="A58" s="1468" t="s">
        <v>347</v>
      </c>
      <c r="B58" s="1469"/>
      <c r="C58" s="1469"/>
      <c r="D58" s="1469"/>
      <c r="E58" s="1469"/>
      <c r="F58" s="1469"/>
      <c r="G58" s="1470"/>
    </row>
    <row r="59" spans="1:10" ht="12.75" customHeight="1">
      <c r="A59" s="1585" t="s">
        <v>128</v>
      </c>
      <c r="B59" s="1586"/>
      <c r="C59" s="1586"/>
      <c r="D59" s="1587"/>
      <c r="E59" s="1595" t="s">
        <v>306</v>
      </c>
      <c r="F59" s="1596"/>
      <c r="G59" s="1597"/>
    </row>
    <row r="60" spans="1:10" ht="11.25" customHeight="1">
      <c r="A60" s="1588"/>
      <c r="B60" s="1589"/>
      <c r="C60" s="1589"/>
      <c r="D60" s="1590"/>
      <c r="E60" s="1598"/>
      <c r="F60" s="1599"/>
      <c r="G60" s="1600"/>
    </row>
    <row r="61" spans="1:10" ht="12.75" customHeight="1" thickBot="1">
      <c r="A61" s="1591">
        <v>40999</v>
      </c>
      <c r="B61" s="1592"/>
      <c r="C61" s="1592"/>
      <c r="D61" s="1593"/>
      <c r="E61" s="1601" t="str">
        <f>'Løntabel gældende fra'!$D$1</f>
        <v>01-11-2025</v>
      </c>
      <c r="F61" s="1602"/>
      <c r="G61" s="1603"/>
      <c r="J61" s="593"/>
    </row>
    <row r="62" spans="1:10" ht="17.25" customHeight="1" thickBot="1">
      <c r="A62" s="1431">
        <v>8800</v>
      </c>
      <c r="B62" s="1594"/>
      <c r="C62" s="1594"/>
      <c r="D62" s="1432"/>
      <c r="E62" s="1433">
        <f>ROUND(A62*(1+'Løntabel gældende fra'!$D$7/100),2)</f>
        <v>10992.31</v>
      </c>
      <c r="F62" s="1594"/>
      <c r="G62" s="1604"/>
      <c r="J62" s="592"/>
    </row>
    <row r="63" spans="1:10" ht="17.25" customHeight="1" thickBot="1">
      <c r="A63" s="217"/>
      <c r="B63" s="217"/>
      <c r="C63" s="217"/>
      <c r="D63" s="217"/>
      <c r="E63" s="217"/>
      <c r="F63" s="217"/>
      <c r="G63" s="217"/>
      <c r="J63" s="592"/>
    </row>
    <row r="64" spans="1:10" ht="21" customHeight="1" thickBot="1">
      <c r="A64" s="1517" t="s">
        <v>348</v>
      </c>
      <c r="B64" s="1518"/>
      <c r="C64" s="1518"/>
      <c r="D64" s="1518"/>
      <c r="E64" s="1518"/>
      <c r="F64" s="1518"/>
      <c r="G64" s="1519"/>
      <c r="J64" s="592"/>
    </row>
    <row r="65" spans="1:9" ht="12.75" customHeight="1" thickBot="1">
      <c r="A65" s="603"/>
      <c r="B65" s="603"/>
      <c r="C65" s="603"/>
      <c r="D65" s="603"/>
      <c r="E65" s="603"/>
      <c r="F65" s="603"/>
      <c r="G65" s="603"/>
    </row>
    <row r="66" spans="1:9" ht="37.799999999999997" customHeight="1" thickBot="1">
      <c r="A66" s="1520" t="s">
        <v>463</v>
      </c>
      <c r="B66" s="1521"/>
      <c r="C66" s="1521"/>
      <c r="D66" s="1521"/>
      <c r="E66" s="1521"/>
      <c r="F66" s="1521"/>
      <c r="G66" s="1522"/>
    </row>
    <row r="67" spans="1:9" ht="17.25" customHeight="1">
      <c r="A67" s="1556" t="s">
        <v>466</v>
      </c>
      <c r="B67" s="1557"/>
      <c r="C67" s="1557"/>
      <c r="D67" s="1557"/>
      <c r="E67" s="1557"/>
      <c r="F67" s="1557"/>
      <c r="G67" s="1558"/>
    </row>
    <row r="68" spans="1:9" ht="72" customHeight="1" thickBot="1">
      <c r="A68" s="1559"/>
      <c r="B68" s="1560"/>
      <c r="C68" s="1560"/>
      <c r="D68" s="1560"/>
      <c r="E68" s="1560"/>
      <c r="F68" s="1560"/>
      <c r="G68" s="1561"/>
    </row>
    <row r="69" spans="1:9" ht="18" customHeight="1" thickBot="1">
      <c r="A69" s="901"/>
      <c r="B69" s="901"/>
      <c r="C69" s="901"/>
      <c r="D69" s="901"/>
      <c r="E69" s="901"/>
      <c r="F69" s="901"/>
      <c r="G69" s="901"/>
    </row>
    <row r="70" spans="1:9" ht="43.95" customHeight="1" thickBot="1">
      <c r="A70" s="1562" t="s">
        <v>464</v>
      </c>
      <c r="B70" s="1563"/>
      <c r="C70" s="1563"/>
      <c r="D70" s="1563"/>
      <c r="E70" s="1563"/>
      <c r="F70" s="1563"/>
      <c r="G70" s="1564"/>
    </row>
    <row r="71" spans="1:9" ht="18.75" customHeight="1">
      <c r="A71" s="1497" t="s">
        <v>465</v>
      </c>
      <c r="B71" s="1498"/>
      <c r="C71" s="1498"/>
      <c r="D71" s="1498"/>
      <c r="E71" s="1498"/>
      <c r="F71" s="1498"/>
      <c r="G71" s="1499"/>
    </row>
    <row r="72" spans="1:9" ht="15.75" customHeight="1">
      <c r="A72" s="1494" t="s">
        <v>368</v>
      </c>
      <c r="B72" s="1495"/>
      <c r="C72" s="1495"/>
      <c r="D72" s="1495"/>
      <c r="E72" s="1495"/>
      <c r="F72" s="1495"/>
      <c r="G72" s="1496"/>
    </row>
    <row r="73" spans="1:9" ht="29.25" customHeight="1">
      <c r="A73" s="1492" t="s">
        <v>57</v>
      </c>
      <c r="B73" s="1510" t="s">
        <v>128</v>
      </c>
      <c r="C73" s="1417" t="s">
        <v>306</v>
      </c>
      <c r="D73" s="1505" t="s">
        <v>352</v>
      </c>
      <c r="E73" s="1416" t="s">
        <v>90</v>
      </c>
      <c r="F73" s="1417"/>
      <c r="G73" s="1418"/>
    </row>
    <row r="74" spans="1:9" ht="20.25" customHeight="1">
      <c r="A74" s="1492"/>
      <c r="B74" s="1511"/>
      <c r="C74" s="1420"/>
      <c r="D74" s="1506"/>
      <c r="E74" s="1419"/>
      <c r="F74" s="1420"/>
      <c r="G74" s="1421"/>
      <c r="H74" s="592"/>
      <c r="I74" s="592"/>
    </row>
    <row r="75" spans="1:9" ht="32.25" customHeight="1" thickBot="1">
      <c r="A75" s="1493"/>
      <c r="B75" s="647">
        <v>40999</v>
      </c>
      <c r="C75" s="648" t="str">
        <f>'Løntabel gældende fra'!$D$1</f>
        <v>01-11-2025</v>
      </c>
      <c r="D75" s="690" t="str">
        <f>C75</f>
        <v>01-11-2025</v>
      </c>
      <c r="E75" s="1413" t="s">
        <v>559</v>
      </c>
      <c r="F75" s="1414"/>
      <c r="G75" s="1415"/>
      <c r="H75" s="592"/>
      <c r="I75" s="592"/>
    </row>
    <row r="76" spans="1:9" ht="21.75" customHeight="1" thickBot="1">
      <c r="A76" s="644">
        <v>50</v>
      </c>
      <c r="B76" s="643">
        <v>521094</v>
      </c>
      <c r="C76" s="645">
        <f>B76*(1+'Løntabel gældende fra'!$D$7/100)</f>
        <v>650912.06384399999</v>
      </c>
      <c r="D76" s="646">
        <f>ROUND(C76/12,2)</f>
        <v>54242.67</v>
      </c>
      <c r="E76" s="1454">
        <f>ROUND(D76*0.1897,2)</f>
        <v>10289.83</v>
      </c>
      <c r="F76" s="1395"/>
      <c r="G76" s="1396"/>
      <c r="H76" s="593"/>
    </row>
    <row r="77" spans="1:9" ht="12.75" customHeight="1">
      <c r="A77" s="1479" t="s">
        <v>562</v>
      </c>
      <c r="B77" s="1479"/>
      <c r="C77" s="1479"/>
      <c r="D77" s="1479"/>
      <c r="E77" s="1480"/>
      <c r="F77" s="1480"/>
      <c r="G77" s="1480"/>
      <c r="H77" s="592"/>
    </row>
    <row r="78" spans="1:9" ht="28.95" customHeight="1" thickBot="1">
      <c r="A78" s="1481"/>
      <c r="B78" s="1481"/>
      <c r="C78" s="1481"/>
      <c r="D78" s="1481"/>
      <c r="E78" s="1481"/>
      <c r="F78" s="1481"/>
      <c r="G78" s="1481"/>
    </row>
    <row r="79" spans="1:9" ht="16.5" customHeight="1" thickBot="1">
      <c r="A79" s="1502" t="s">
        <v>321</v>
      </c>
      <c r="B79" s="1503"/>
      <c r="C79" s="1503"/>
      <c r="D79" s="1503"/>
      <c r="E79" s="1503"/>
      <c r="F79" s="1503"/>
      <c r="G79" s="1504"/>
    </row>
    <row r="80" spans="1:9" ht="19.5" customHeight="1">
      <c r="A80" s="1525" t="s">
        <v>320</v>
      </c>
      <c r="B80" s="1528" t="s">
        <v>349</v>
      </c>
      <c r="C80" s="1529"/>
      <c r="D80" s="1530"/>
      <c r="E80" s="1482" t="s">
        <v>349</v>
      </c>
      <c r="F80" s="1483"/>
      <c r="G80" s="1484"/>
    </row>
    <row r="81" spans="1:7" ht="14.25" customHeight="1">
      <c r="A81" s="1526"/>
      <c r="B81" s="1531">
        <v>40999</v>
      </c>
      <c r="C81" s="1532"/>
      <c r="D81" s="1533"/>
      <c r="E81" s="1485" t="str">
        <f>'Løntabel gældende fra'!$D$1</f>
        <v>01-11-2025</v>
      </c>
      <c r="F81" s="1486"/>
      <c r="G81" s="1487"/>
    </row>
    <row r="82" spans="1:7">
      <c r="A82" s="1526"/>
      <c r="B82" s="1534"/>
      <c r="C82" s="1535"/>
      <c r="D82" s="1536"/>
      <c r="E82" s="1488"/>
      <c r="F82" s="1489"/>
      <c r="G82" s="1490"/>
    </row>
    <row r="83" spans="1:7" ht="15.6" thickBot="1">
      <c r="A83" s="1527"/>
      <c r="B83" s="1543" t="s">
        <v>350</v>
      </c>
      <c r="C83" s="1491"/>
      <c r="D83" s="653" t="s">
        <v>351</v>
      </c>
      <c r="E83" s="1491" t="s">
        <v>350</v>
      </c>
      <c r="F83" s="1491"/>
      <c r="G83" s="654" t="s">
        <v>351</v>
      </c>
    </row>
    <row r="84" spans="1:7" ht="18" customHeight="1">
      <c r="A84" s="662">
        <v>1</v>
      </c>
      <c r="B84" s="1500">
        <v>485345</v>
      </c>
      <c r="C84" s="1501"/>
      <c r="D84" s="651">
        <v>511173</v>
      </c>
      <c r="E84" s="1523">
        <f>ROUND(B84*(1+'Løntabel gældende fra'!$D$7/100),2)</f>
        <v>606257.06000000006</v>
      </c>
      <c r="F84" s="1523"/>
      <c r="G84" s="652">
        <f>ROUND(D84*(1+'Løntabel gældende fra'!$D$7/100),2)</f>
        <v>638519.48</v>
      </c>
    </row>
    <row r="85" spans="1:7" ht="15.6" thickBot="1">
      <c r="A85" s="650">
        <v>2</v>
      </c>
      <c r="B85" s="1477">
        <v>450909</v>
      </c>
      <c r="C85" s="1478"/>
      <c r="D85" s="649">
        <v>472431</v>
      </c>
      <c r="E85" s="1524">
        <f>ROUND(B85*(1+'Løntabel gældende fra'!$D$7/100),2)</f>
        <v>563242.16</v>
      </c>
      <c r="F85" s="1524"/>
      <c r="G85" s="974">
        <f>ROUND(D85*(1+'Løntabel gældende fra'!$D$7/100),2)</f>
        <v>590125.85</v>
      </c>
    </row>
    <row r="86" spans="1:7" ht="26.25" customHeight="1" thickBot="1">
      <c r="A86" s="1445" t="s">
        <v>560</v>
      </c>
      <c r="B86" s="1445"/>
      <c r="C86" s="1445"/>
      <c r="D86" s="1445"/>
      <c r="E86" s="1445"/>
      <c r="F86" s="1445"/>
      <c r="G86" s="1445"/>
    </row>
    <row r="87" spans="1:7" ht="21.75" customHeight="1" thickBot="1">
      <c r="A87" s="1539" t="s">
        <v>319</v>
      </c>
      <c r="B87" s="1540"/>
      <c r="C87" s="1540"/>
      <c r="D87" s="1540"/>
      <c r="E87" s="1540"/>
      <c r="F87" s="1540"/>
      <c r="G87" s="1541"/>
    </row>
    <row r="88" spans="1:7" ht="18" customHeight="1">
      <c r="A88" s="1507" t="s">
        <v>234</v>
      </c>
      <c r="B88" s="1542" t="s">
        <v>128</v>
      </c>
      <c r="C88" s="1424" t="s">
        <v>306</v>
      </c>
      <c r="D88" s="1574" t="s">
        <v>253</v>
      </c>
      <c r="E88" s="1424" t="str">
        <f>F8</f>
        <v>Pensionsbidrag til AkademikerPension</v>
      </c>
      <c r="F88" s="1424"/>
      <c r="G88" s="1425"/>
    </row>
    <row r="89" spans="1:7" ht="17.25" customHeight="1">
      <c r="A89" s="1508"/>
      <c r="B89" s="1419"/>
      <c r="C89" s="1420"/>
      <c r="D89" s="1575"/>
      <c r="E89" s="1420"/>
      <c r="F89" s="1420"/>
      <c r="G89" s="1421"/>
    </row>
    <row r="90" spans="1:7" ht="17.25" customHeight="1" thickBot="1">
      <c r="A90" s="1508"/>
      <c r="B90" s="656">
        <v>40999</v>
      </c>
      <c r="C90" s="648" t="str">
        <f>'Løntabel gældende fra'!$D$1</f>
        <v>01-11-2025</v>
      </c>
      <c r="D90" s="648" t="str">
        <f>C90</f>
        <v>01-11-2025</v>
      </c>
      <c r="E90" s="1422" t="s">
        <v>561</v>
      </c>
      <c r="F90" s="1422"/>
      <c r="G90" s="1423"/>
    </row>
    <row r="91" spans="1:7" ht="17.25" customHeight="1" thickBot="1">
      <c r="A91" s="1509"/>
      <c r="B91" s="655">
        <v>460000</v>
      </c>
      <c r="C91" s="645">
        <f>ROUND(B91*(1+'Løntabel gældende fra'!$D$7/100),2)</f>
        <v>574597.96</v>
      </c>
      <c r="D91" s="646">
        <f>ROUND(C91/12,2)</f>
        <v>47883.16</v>
      </c>
      <c r="E91" s="1576">
        <f>ROUND(D91*0.1897,2)</f>
        <v>9083.44</v>
      </c>
      <c r="F91" s="1577"/>
      <c r="G91" s="1578"/>
    </row>
    <row r="92" spans="1:7" ht="19.5" customHeight="1" thickBot="1">
      <c r="A92" s="614"/>
      <c r="B92" s="604"/>
      <c r="C92" s="604"/>
      <c r="D92" s="604"/>
      <c r="E92" s="605"/>
      <c r="F92" s="605"/>
      <c r="G92" s="605"/>
    </row>
    <row r="93" spans="1:7" ht="20.25" customHeight="1">
      <c r="A93" s="1579" t="s">
        <v>318</v>
      </c>
      <c r="B93" s="1580"/>
      <c r="C93" s="1580"/>
      <c r="D93" s="1580"/>
      <c r="E93" s="1580"/>
      <c r="F93" s="1580"/>
      <c r="G93" s="1581"/>
    </row>
    <row r="94" spans="1:7" ht="20.25" customHeight="1" thickBot="1">
      <c r="A94" s="1565" t="s">
        <v>317</v>
      </c>
      <c r="B94" s="1566"/>
      <c r="C94" s="1566"/>
      <c r="D94" s="1566"/>
      <c r="E94" s="1566"/>
      <c r="F94" s="1566"/>
      <c r="G94" s="1567"/>
    </row>
    <row r="95" spans="1:7" ht="21" customHeight="1">
      <c r="A95" s="1568" t="s">
        <v>112</v>
      </c>
      <c r="B95" s="1570" t="s">
        <v>128</v>
      </c>
      <c r="C95" s="1571" t="s">
        <v>306</v>
      </c>
      <c r="D95" s="1572" t="s">
        <v>253</v>
      </c>
      <c r="E95" s="1424" t="str">
        <f>E88</f>
        <v>Pensionsbidrag til AkademikerPension</v>
      </c>
      <c r="F95" s="1424"/>
      <c r="G95" s="1425"/>
    </row>
    <row r="96" spans="1:7" ht="19.5" customHeight="1">
      <c r="A96" s="1569"/>
      <c r="B96" s="1510"/>
      <c r="C96" s="1417"/>
      <c r="D96" s="1573"/>
      <c r="E96" s="1420"/>
      <c r="F96" s="1420"/>
      <c r="G96" s="1421"/>
    </row>
    <row r="97" spans="1:9" ht="13.5" customHeight="1" thickBot="1">
      <c r="A97" s="661"/>
      <c r="B97" s="647">
        <v>40999</v>
      </c>
      <c r="C97" s="648" t="str">
        <f>'Løntabel gældende fra'!$D$1</f>
        <v>01-11-2025</v>
      </c>
      <c r="D97" s="648" t="str">
        <f>C97</f>
        <v>01-11-2025</v>
      </c>
      <c r="E97" s="1414" t="s">
        <v>561</v>
      </c>
      <c r="F97" s="1414"/>
      <c r="G97" s="1415"/>
      <c r="H97" s="602"/>
    </row>
    <row r="98" spans="1:9">
      <c r="A98" s="659" t="s">
        <v>316</v>
      </c>
      <c r="B98" s="657">
        <v>131590</v>
      </c>
      <c r="C98" s="672">
        <f>ROUND(B98*(1+'Løntabel gældende fra'!$D$7/100),2)</f>
        <v>164372.49</v>
      </c>
      <c r="D98" s="672">
        <f>ROUND(C98/12,2)</f>
        <v>13697.71</v>
      </c>
      <c r="E98" s="1393">
        <f>ROUND(D98*0.1897,2)</f>
        <v>2598.46</v>
      </c>
      <c r="F98" s="1393"/>
      <c r="G98" s="1394"/>
      <c r="I98" s="602"/>
    </row>
    <row r="99" spans="1:9" ht="15" customHeight="1" thickBot="1">
      <c r="A99" s="660" t="s">
        <v>315</v>
      </c>
      <c r="B99" s="658">
        <v>150988</v>
      </c>
      <c r="C99" s="671">
        <f>ROUND(B99*(1+'Løntabel gældende fra'!$D$7/100),2)</f>
        <v>188603.04</v>
      </c>
      <c r="D99" s="645">
        <f>ROUND(C99/12,2)</f>
        <v>15716.92</v>
      </c>
      <c r="E99" s="1395">
        <f>ROUND(D99*0.1897,2)</f>
        <v>2981.5</v>
      </c>
      <c r="F99" s="1395"/>
      <c r="G99" s="1396"/>
    </row>
    <row r="100" spans="1:9" customFormat="1" ht="14.4">
      <c r="A100" s="676" t="s">
        <v>356</v>
      </c>
      <c r="B100" s="600"/>
      <c r="C100" s="600"/>
      <c r="D100" s="600"/>
      <c r="E100" s="600"/>
      <c r="F100" s="600"/>
      <c r="G100" s="600"/>
    </row>
    <row r="101" spans="1:9" customFormat="1" ht="16.05" customHeight="1">
      <c r="A101" s="2"/>
      <c r="B101" s="2"/>
      <c r="C101" s="2"/>
      <c r="D101" s="2"/>
      <c r="E101" s="2"/>
      <c r="F101" s="2"/>
      <c r="G101" s="2"/>
    </row>
    <row r="102" spans="1:9" customFormat="1" ht="13.95" customHeight="1"/>
    <row r="103" spans="1:9" customFormat="1" ht="31.95" customHeight="1"/>
    <row r="104" spans="1:9" customFormat="1" ht="15" customHeight="1"/>
    <row r="105" spans="1:9" customFormat="1" ht="16.05" customHeight="1"/>
    <row r="106" spans="1:9" customFormat="1" ht="16.05" customHeight="1"/>
    <row r="107" spans="1:9" ht="14.4">
      <c r="A107"/>
      <c r="B107"/>
      <c r="C107"/>
      <c r="D107"/>
      <c r="E107"/>
      <c r="F107"/>
      <c r="G107"/>
    </row>
    <row r="108" spans="1:9" ht="14.4">
      <c r="A108"/>
      <c r="B108"/>
      <c r="C108"/>
      <c r="D108"/>
      <c r="E108"/>
      <c r="F108"/>
      <c r="G108"/>
    </row>
  </sheetData>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topLeftCell="A25" zoomScaleSheetLayoutView="100" workbookViewId="0">
      <selection activeCell="F69" sqref="F69:G69"/>
    </sheetView>
  </sheetViews>
  <sheetFormatPr defaultColWidth="8.77734375" defaultRowHeight="13.8"/>
  <cols>
    <col min="1" max="1" width="10" style="222" customWidth="1"/>
    <col min="2" max="8" width="17" style="222" customWidth="1"/>
    <col min="9" max="16384" width="8.77734375" style="222"/>
  </cols>
  <sheetData>
    <row r="1" spans="1:8" ht="21">
      <c r="A1" s="1208" t="s">
        <v>19</v>
      </c>
      <c r="B1" s="1209"/>
      <c r="C1" s="1209"/>
      <c r="D1" s="1209"/>
      <c r="E1" s="1209"/>
      <c r="F1" s="1209"/>
      <c r="G1" s="1209"/>
      <c r="H1" s="1210"/>
    </row>
    <row r="2" spans="1:8" ht="21">
      <c r="A2" s="1222" t="s">
        <v>164</v>
      </c>
      <c r="B2" s="1223"/>
      <c r="C2" s="1223"/>
      <c r="D2" s="1223"/>
      <c r="E2" s="1223"/>
      <c r="F2" s="1223"/>
      <c r="G2" s="1223"/>
      <c r="H2" s="1224"/>
    </row>
    <row r="3" spans="1:8" ht="21.6" thickBot="1">
      <c r="A3" s="1705" t="str">
        <f>'Forside 1'!A6:I6</f>
        <v>Gældende fra 1. november 2025</v>
      </c>
      <c r="B3" s="1706"/>
      <c r="C3" s="1706"/>
      <c r="D3" s="1706"/>
      <c r="E3" s="1706"/>
      <c r="F3" s="1706"/>
      <c r="G3" s="1706"/>
      <c r="H3" s="1707"/>
    </row>
    <row r="4" spans="1:8" ht="18.75" customHeight="1" thickBot="1">
      <c r="A4" s="601"/>
      <c r="B4" s="601"/>
      <c r="C4" s="601"/>
      <c r="D4" s="601"/>
      <c r="E4" s="601"/>
      <c r="F4" s="601"/>
      <c r="G4" s="601"/>
      <c r="H4" s="601"/>
    </row>
    <row r="5" spans="1:8" ht="41.25" customHeight="1" thickBot="1">
      <c r="A5" s="1710" t="s">
        <v>450</v>
      </c>
      <c r="B5" s="1711"/>
      <c r="C5" s="1711"/>
      <c r="D5" s="1711"/>
      <c r="E5" s="1711"/>
      <c r="F5" s="1712"/>
      <c r="G5" s="1690" t="s">
        <v>90</v>
      </c>
      <c r="H5" s="1691"/>
    </row>
    <row r="6" spans="1:8" ht="25.95" customHeight="1" thickBot="1">
      <c r="A6" s="1687" t="s">
        <v>449</v>
      </c>
      <c r="B6" s="1688"/>
      <c r="C6" s="1688"/>
      <c r="D6" s="1688"/>
      <c r="E6" s="1688"/>
      <c r="F6" s="1688"/>
      <c r="G6" s="1688"/>
      <c r="H6" s="1689"/>
    </row>
    <row r="7" spans="1:8">
      <c r="A7" s="675" t="s">
        <v>57</v>
      </c>
      <c r="B7" s="675" t="s">
        <v>72</v>
      </c>
      <c r="C7" s="675" t="s">
        <v>73</v>
      </c>
      <c r="D7" s="675" t="s">
        <v>74</v>
      </c>
      <c r="E7" s="675" t="s">
        <v>75</v>
      </c>
      <c r="F7" s="675" t="s">
        <v>76</v>
      </c>
      <c r="G7" s="675" t="s">
        <v>210</v>
      </c>
      <c r="H7" s="666">
        <v>0.14699999999999999</v>
      </c>
    </row>
    <row r="8" spans="1:8" ht="15">
      <c r="A8" s="538">
        <v>14</v>
      </c>
      <c r="B8" s="539">
        <f>+'Statens skalatrin'!D46</f>
        <v>23692.92</v>
      </c>
      <c r="C8" s="539">
        <f>+'Statens skalatrin'!F46</f>
        <v>24186.33</v>
      </c>
      <c r="D8" s="539">
        <f>+'Statens skalatrin'!H46</f>
        <v>24527.83</v>
      </c>
      <c r="E8" s="539">
        <f>+'Statens skalatrin'!J46</f>
        <v>25021.17</v>
      </c>
      <c r="F8" s="539">
        <f>+'Statens skalatrin'!L46</f>
        <v>25362.67</v>
      </c>
      <c r="G8" s="540">
        <f>+'Statens skalatrin'!O46</f>
        <v>22152.13</v>
      </c>
      <c r="H8" s="540">
        <f>ROUND(G8*$H$7,2)</f>
        <v>3256.36</v>
      </c>
    </row>
    <row r="9" spans="1:8" ht="15">
      <c r="A9" s="538">
        <v>15</v>
      </c>
      <c r="B9" s="539">
        <f>+'Statens skalatrin'!D49</f>
        <v>24113.25</v>
      </c>
      <c r="C9" s="539">
        <f>+'Statens skalatrin'!F49</f>
        <v>24618.92</v>
      </c>
      <c r="D9" s="539">
        <f>+'Statens skalatrin'!H49</f>
        <v>24969</v>
      </c>
      <c r="E9" s="539">
        <f>+'Statens skalatrin'!J49</f>
        <v>25474.92</v>
      </c>
      <c r="F9" s="539">
        <f>+'Statens skalatrin'!L49</f>
        <v>25825.08</v>
      </c>
      <c r="G9" s="540">
        <f>+'Statens skalatrin'!O49</f>
        <v>22545.86</v>
      </c>
      <c r="H9" s="540">
        <f t="shared" ref="H9:H32" si="0">ROUND(G9*$H$7,2)</f>
        <v>3314.24</v>
      </c>
    </row>
    <row r="10" spans="1:8" ht="15">
      <c r="A10" s="538">
        <v>16</v>
      </c>
      <c r="B10" s="539">
        <f>'Statens skalatrin'!D52</f>
        <v>24435.33</v>
      </c>
      <c r="C10" s="539">
        <f>+'Statens skalatrin'!F52</f>
        <v>24953.919999999998</v>
      </c>
      <c r="D10" s="539">
        <f>+'Statens skalatrin'!H52</f>
        <v>25313</v>
      </c>
      <c r="E10" s="539">
        <f>+'Statens skalatrin'!J52</f>
        <v>25831.5</v>
      </c>
      <c r="F10" s="539">
        <f>+'Statens skalatrin'!L52</f>
        <v>26190.67</v>
      </c>
      <c r="G10" s="540">
        <f>+'Statens skalatrin'!O52</f>
        <v>22950.66</v>
      </c>
      <c r="H10" s="540">
        <f t="shared" si="0"/>
        <v>3373.75</v>
      </c>
    </row>
    <row r="11" spans="1:8" ht="15">
      <c r="A11" s="538">
        <v>17</v>
      </c>
      <c r="B11" s="539">
        <f>'Statens skalatrin'!D55</f>
        <v>24878.92</v>
      </c>
      <c r="C11" s="539">
        <f>+'Statens skalatrin'!F55</f>
        <v>25410.75</v>
      </c>
      <c r="D11" s="539">
        <f>+'Statens skalatrin'!H55</f>
        <v>25778.92</v>
      </c>
      <c r="E11" s="539">
        <f>+'Statens skalatrin'!J55</f>
        <v>26310.67</v>
      </c>
      <c r="F11" s="539">
        <f>+'Statens skalatrin'!L55</f>
        <v>26678.58</v>
      </c>
      <c r="G11" s="540">
        <f>+'Statens skalatrin'!O55</f>
        <v>23366.37</v>
      </c>
      <c r="H11" s="540">
        <f t="shared" si="0"/>
        <v>3434.86</v>
      </c>
    </row>
    <row r="12" spans="1:8" ht="15">
      <c r="A12" s="538">
        <v>18</v>
      </c>
      <c r="B12" s="539">
        <f>'Statens skalatrin'!D58</f>
        <v>25335.08</v>
      </c>
      <c r="C12" s="539">
        <f>+'Statens skalatrin'!F58</f>
        <v>25880.42</v>
      </c>
      <c r="D12" s="539">
        <f>+'Statens skalatrin'!H58</f>
        <v>26257.919999999998</v>
      </c>
      <c r="E12" s="539">
        <f>+'Statens skalatrin'!J58</f>
        <v>26803.08</v>
      </c>
      <c r="F12" s="539">
        <f>+'Statens skalatrin'!L58</f>
        <v>27180.5</v>
      </c>
      <c r="G12" s="540">
        <f>+'Statens skalatrin'!O58</f>
        <v>23793.72</v>
      </c>
      <c r="H12" s="540">
        <f t="shared" si="0"/>
        <v>3497.68</v>
      </c>
    </row>
    <row r="13" spans="1:8" ht="15">
      <c r="A13" s="538">
        <v>19</v>
      </c>
      <c r="B13" s="539">
        <f>'Statens skalatrin'!D61</f>
        <v>25675.5</v>
      </c>
      <c r="C13" s="539">
        <f>+'Statens skalatrin'!F61</f>
        <v>26234.67</v>
      </c>
      <c r="D13" s="539">
        <f>+'Statens skalatrin'!H61</f>
        <v>26621.58</v>
      </c>
      <c r="E13" s="539">
        <f>+'Statens skalatrin'!J61</f>
        <v>27180.92</v>
      </c>
      <c r="F13" s="539">
        <f>+'Statens skalatrin'!L61</f>
        <v>27568.080000000002</v>
      </c>
      <c r="G13" s="540">
        <f>+'Statens skalatrin'!O61</f>
        <v>24232.71</v>
      </c>
      <c r="H13" s="540">
        <f t="shared" si="0"/>
        <v>3562.21</v>
      </c>
    </row>
    <row r="14" spans="1:8" ht="15">
      <c r="A14" s="538">
        <v>20</v>
      </c>
      <c r="B14" s="539">
        <f>+'Statens skalatrin'!D64</f>
        <v>26029</v>
      </c>
      <c r="C14" s="539">
        <f>+'Statens skalatrin'!F64</f>
        <v>26602.25</v>
      </c>
      <c r="D14" s="539">
        <f>+'Statens skalatrin'!H64</f>
        <v>26999.25</v>
      </c>
      <c r="E14" s="539">
        <f>+'Statens skalatrin'!J64</f>
        <v>27572.58</v>
      </c>
      <c r="F14" s="539">
        <f>+'Statens skalatrin'!L64</f>
        <v>27969.42</v>
      </c>
      <c r="G14" s="540">
        <f>+'Statens skalatrin'!O64</f>
        <v>24683.73</v>
      </c>
      <c r="H14" s="540">
        <f t="shared" si="0"/>
        <v>3628.51</v>
      </c>
    </row>
    <row r="15" spans="1:8" ht="15">
      <c r="A15" s="538">
        <v>21</v>
      </c>
      <c r="B15" s="539">
        <f>+'Statens skalatrin'!D67</f>
        <v>26459.83</v>
      </c>
      <c r="C15" s="539">
        <f>+'Statens skalatrin'!F67</f>
        <v>27047.83</v>
      </c>
      <c r="D15" s="539">
        <f>+'Statens skalatrin'!H67</f>
        <v>27454.92</v>
      </c>
      <c r="E15" s="539">
        <f>+'Statens skalatrin'!J67</f>
        <v>28043</v>
      </c>
      <c r="F15" s="539">
        <f>+'Statens skalatrin'!L67</f>
        <v>28450.080000000002</v>
      </c>
      <c r="G15" s="540">
        <f>+'Statens skalatrin'!O67</f>
        <v>25147.33</v>
      </c>
      <c r="H15" s="540">
        <f t="shared" si="0"/>
        <v>3696.66</v>
      </c>
    </row>
    <row r="16" spans="1:8" ht="15">
      <c r="A16" s="538">
        <v>22</v>
      </c>
      <c r="B16" s="539">
        <f>+'Statens skalatrin'!D70</f>
        <v>26859</v>
      </c>
      <c r="C16" s="539">
        <f>+'Statens skalatrin'!F70</f>
        <v>27447.08</v>
      </c>
      <c r="D16" s="539">
        <f>+'Statens skalatrin'!H70</f>
        <v>27854.17</v>
      </c>
      <c r="E16" s="539">
        <f>+'Statens skalatrin'!J70</f>
        <v>28442.17</v>
      </c>
      <c r="F16" s="539">
        <f>+'Statens skalatrin'!L70</f>
        <v>28849.33</v>
      </c>
      <c r="G16" s="540">
        <f>+'Statens skalatrin'!O70</f>
        <v>25610.55</v>
      </c>
      <c r="H16" s="540">
        <f t="shared" si="0"/>
        <v>3764.75</v>
      </c>
    </row>
    <row r="17" spans="1:8" ht="15">
      <c r="A17" s="538">
        <v>23</v>
      </c>
      <c r="B17" s="539">
        <f>+'Statens skalatrin'!D73</f>
        <v>27286.83</v>
      </c>
      <c r="C17" s="539">
        <f>+'Statens skalatrin'!F73</f>
        <v>27858.5</v>
      </c>
      <c r="D17" s="539">
        <f>+'Statens skalatrin'!H73</f>
        <v>28254.58</v>
      </c>
      <c r="E17" s="539">
        <f>+'Statens skalatrin'!J73</f>
        <v>28826.5</v>
      </c>
      <c r="F17" s="539">
        <f>+'Statens skalatrin'!L73</f>
        <v>29222.25</v>
      </c>
      <c r="G17" s="540">
        <f>+'Statens skalatrin'!O73</f>
        <v>26072.65</v>
      </c>
      <c r="H17" s="540">
        <f t="shared" si="0"/>
        <v>3832.68</v>
      </c>
    </row>
    <row r="18" spans="1:8" ht="15">
      <c r="A18" s="538">
        <v>24</v>
      </c>
      <c r="B18" s="539">
        <f>+'Statens skalatrin'!D76</f>
        <v>27727.67</v>
      </c>
      <c r="C18" s="539">
        <f>+'Statens skalatrin'!F76</f>
        <v>28283.33</v>
      </c>
      <c r="D18" s="539">
        <f>+'Statens skalatrin'!H76</f>
        <v>28668.080000000002</v>
      </c>
      <c r="E18" s="539">
        <f>+'Statens skalatrin'!J76</f>
        <v>29223.83</v>
      </c>
      <c r="F18" s="539">
        <f>+'Statens skalatrin'!L76</f>
        <v>29608.58</v>
      </c>
      <c r="G18" s="540">
        <f>+'Statens skalatrin'!O76</f>
        <v>26547.88</v>
      </c>
      <c r="H18" s="540">
        <f t="shared" si="0"/>
        <v>3902.54</v>
      </c>
    </row>
    <row r="19" spans="1:8" ht="15">
      <c r="A19" s="538">
        <v>25</v>
      </c>
      <c r="B19" s="539">
        <f>+'Statens skalatrin'!D79</f>
        <v>28178.33</v>
      </c>
      <c r="C19" s="539">
        <f>+'Statens skalatrin'!F79</f>
        <v>28716.67</v>
      </c>
      <c r="D19" s="539">
        <f>+'Statens skalatrin'!H79</f>
        <v>29089.42</v>
      </c>
      <c r="E19" s="539">
        <f>+'Statens skalatrin'!J79</f>
        <v>29627.83</v>
      </c>
      <c r="F19" s="539">
        <f>+'Statens skalatrin'!L79</f>
        <v>30000.5</v>
      </c>
      <c r="G19" s="540">
        <f>+'Statens skalatrin'!O79</f>
        <v>27035.43</v>
      </c>
      <c r="H19" s="540">
        <f t="shared" si="0"/>
        <v>3974.21</v>
      </c>
    </row>
    <row r="20" spans="1:8" ht="15">
      <c r="A20" s="538">
        <v>26</v>
      </c>
      <c r="B20" s="539">
        <f>+'Statens skalatrin'!D82</f>
        <v>28639.42</v>
      </c>
      <c r="C20" s="539">
        <f>+'Statens skalatrin'!F82</f>
        <v>29159.08</v>
      </c>
      <c r="D20" s="539">
        <f>+'Statens skalatrin'!H82</f>
        <v>29518.92</v>
      </c>
      <c r="E20" s="539">
        <f>+'Statens skalatrin'!J82</f>
        <v>30038.67</v>
      </c>
      <c r="F20" s="539">
        <f>+'Statens skalatrin'!L82</f>
        <v>30398.42</v>
      </c>
      <c r="G20" s="540">
        <f>+'Statens skalatrin'!O82</f>
        <v>27535.8</v>
      </c>
      <c r="H20" s="540">
        <f t="shared" si="0"/>
        <v>4047.76</v>
      </c>
    </row>
    <row r="21" spans="1:8" ht="15">
      <c r="A21" s="538">
        <v>27</v>
      </c>
      <c r="B21" s="539">
        <f>+'Statens skalatrin'!D85</f>
        <v>29110.5</v>
      </c>
      <c r="C21" s="539">
        <f>+'Statens skalatrin'!F85</f>
        <v>29610.080000000002</v>
      </c>
      <c r="D21" s="539">
        <f>+'Statens skalatrin'!H85</f>
        <v>29956.33</v>
      </c>
      <c r="E21" s="539">
        <f>+'Statens skalatrin'!J85</f>
        <v>30456.080000000002</v>
      </c>
      <c r="F21" s="539">
        <f>+'Statens skalatrin'!L85</f>
        <v>30802.17</v>
      </c>
      <c r="G21" s="540">
        <f>+'Statens skalatrin'!O85</f>
        <v>28049.11</v>
      </c>
      <c r="H21" s="540">
        <f t="shared" si="0"/>
        <v>4123.22</v>
      </c>
    </row>
    <row r="22" spans="1:8" ht="15">
      <c r="A22" s="538">
        <v>28</v>
      </c>
      <c r="B22" s="539">
        <f>+'Statens skalatrin'!D88</f>
        <v>29592.080000000002</v>
      </c>
      <c r="C22" s="539">
        <f>+'Statens skalatrin'!F88</f>
        <v>30070.75</v>
      </c>
      <c r="D22" s="539">
        <f>+'Statens skalatrin'!H88</f>
        <v>30402.080000000002</v>
      </c>
      <c r="E22" s="539">
        <f>+'Statens skalatrin'!J88</f>
        <v>30880.58</v>
      </c>
      <c r="F22" s="539">
        <f>+'Statens skalatrin'!L88</f>
        <v>31212</v>
      </c>
      <c r="G22" s="540">
        <f>+'Statens skalatrin'!O88</f>
        <v>28576.07</v>
      </c>
      <c r="H22" s="540">
        <f t="shared" si="0"/>
        <v>4200.68</v>
      </c>
    </row>
    <row r="23" spans="1:8" ht="15">
      <c r="A23" s="538">
        <v>29</v>
      </c>
      <c r="B23" s="539">
        <f>+'Statens skalatrin'!D91</f>
        <v>30084.58</v>
      </c>
      <c r="C23" s="539">
        <f>+'Statens skalatrin'!F91</f>
        <v>30540.5</v>
      </c>
      <c r="D23" s="539">
        <f>+'Statens skalatrin'!H91</f>
        <v>30856.25</v>
      </c>
      <c r="E23" s="539">
        <f>+'Statens skalatrin'!J91</f>
        <v>31312.17</v>
      </c>
      <c r="F23" s="539">
        <f>+'Statens skalatrin'!L91</f>
        <v>31627.75</v>
      </c>
      <c r="G23" s="540">
        <f>+'Statens skalatrin'!O91</f>
        <v>29116.61</v>
      </c>
      <c r="H23" s="540">
        <f t="shared" si="0"/>
        <v>4280.1400000000003</v>
      </c>
    </row>
    <row r="24" spans="1:8" ht="15">
      <c r="A24" s="538">
        <v>30</v>
      </c>
      <c r="B24" s="539">
        <f>+'Statens skalatrin'!D94</f>
        <v>30588.25</v>
      </c>
      <c r="C24" s="539">
        <f>+'Statens skalatrin'!F94</f>
        <v>31020.080000000002</v>
      </c>
      <c r="D24" s="539">
        <f>+'Statens skalatrin'!H94</f>
        <v>31318.92</v>
      </c>
      <c r="E24" s="539">
        <f>+'Statens skalatrin'!J94</f>
        <v>31750.5</v>
      </c>
      <c r="F24" s="539">
        <f>+'Statens skalatrin'!L94</f>
        <v>32049.42</v>
      </c>
      <c r="G24" s="540">
        <f>+'Statens skalatrin'!O94</f>
        <v>29671.4</v>
      </c>
      <c r="H24" s="540">
        <f t="shared" si="0"/>
        <v>4361.7</v>
      </c>
    </row>
    <row r="25" spans="1:8" ht="15">
      <c r="A25" s="538">
        <v>31</v>
      </c>
      <c r="B25" s="539">
        <f>+'Statens skalatrin'!D97</f>
        <v>31102.75</v>
      </c>
      <c r="C25" s="539">
        <f>+'Statens skalatrin'!F97</f>
        <v>31508.75</v>
      </c>
      <c r="D25" s="539">
        <f>+'Statens skalatrin'!H97</f>
        <v>31790.080000000002</v>
      </c>
      <c r="E25" s="539">
        <f>+'Statens skalatrin'!J97</f>
        <v>32196.080000000002</v>
      </c>
      <c r="F25" s="539">
        <f>+'Statens skalatrin'!L97</f>
        <v>32477.25</v>
      </c>
      <c r="G25" s="540">
        <f>+'Statens skalatrin'!O97</f>
        <v>30240.57</v>
      </c>
      <c r="H25" s="540">
        <f t="shared" si="0"/>
        <v>4445.3599999999997</v>
      </c>
    </row>
    <row r="26" spans="1:8" ht="15">
      <c r="A26" s="538">
        <v>32</v>
      </c>
      <c r="B26" s="539">
        <f>+'Statens skalatrin'!D100</f>
        <v>31629.08</v>
      </c>
      <c r="C26" s="539">
        <f>+'Statens skalatrin'!F100</f>
        <v>32007.83</v>
      </c>
      <c r="D26" s="539">
        <f>+'Statens skalatrin'!H100</f>
        <v>32270</v>
      </c>
      <c r="E26" s="539">
        <f>+'Statens skalatrin'!J100</f>
        <v>32648.92</v>
      </c>
      <c r="F26" s="539">
        <f>+'Statens skalatrin'!L100</f>
        <v>32911</v>
      </c>
      <c r="G26" s="540">
        <f>+'Statens skalatrin'!O100</f>
        <v>30824.81</v>
      </c>
      <c r="H26" s="540">
        <f t="shared" si="0"/>
        <v>4531.25</v>
      </c>
    </row>
    <row r="27" spans="1:8" ht="15">
      <c r="A27" s="538">
        <v>33</v>
      </c>
      <c r="B27" s="539">
        <f>+'Statens skalatrin'!D103</f>
        <v>32166.67</v>
      </c>
      <c r="C27" s="539">
        <f>+'Statens skalatrin'!F103</f>
        <v>32516.33</v>
      </c>
      <c r="D27" s="539">
        <f>+'Statens skalatrin'!H103</f>
        <v>32758.67</v>
      </c>
      <c r="E27" s="539">
        <f>+'Statens skalatrin'!J103</f>
        <v>33108.42</v>
      </c>
      <c r="F27" s="539">
        <f>+'Statens skalatrin'!L103</f>
        <v>33350.58</v>
      </c>
      <c r="G27" s="540">
        <f>+'Statens skalatrin'!O103</f>
        <v>31424.03</v>
      </c>
      <c r="H27" s="540">
        <f t="shared" si="0"/>
        <v>4619.33</v>
      </c>
    </row>
    <row r="28" spans="1:8" ht="15">
      <c r="A28" s="538">
        <v>34</v>
      </c>
      <c r="B28" s="539">
        <f>+'Statens skalatrin'!D106</f>
        <v>32716.5</v>
      </c>
      <c r="C28" s="539">
        <f>+'Statens skalatrin'!F106</f>
        <v>33035.5</v>
      </c>
      <c r="D28" s="539">
        <f>+'Statens skalatrin'!H106</f>
        <v>33256.42</v>
      </c>
      <c r="E28" s="539">
        <f>+'Statens skalatrin'!J106</f>
        <v>33575.25</v>
      </c>
      <c r="F28" s="539">
        <f>+'Statens skalatrin'!L106</f>
        <v>33796.17</v>
      </c>
      <c r="G28" s="540">
        <f>+'Statens skalatrin'!O106</f>
        <v>32039.11</v>
      </c>
      <c r="H28" s="540">
        <f t="shared" si="0"/>
        <v>4709.75</v>
      </c>
    </row>
    <row r="29" spans="1:8" ht="15">
      <c r="A29" s="538">
        <v>35</v>
      </c>
      <c r="B29" s="539">
        <f>+'Statens skalatrin'!D109</f>
        <v>33278.5</v>
      </c>
      <c r="C29" s="539">
        <f>+'Statens skalatrin'!F109</f>
        <v>33565.08</v>
      </c>
      <c r="D29" s="539">
        <f>+'Statens skalatrin'!H109</f>
        <v>33763.25</v>
      </c>
      <c r="E29" s="539">
        <f>+'Statens skalatrin'!J109</f>
        <v>34049.83</v>
      </c>
      <c r="F29" s="539">
        <f>+'Statens skalatrin'!L109</f>
        <v>34248</v>
      </c>
      <c r="G29" s="540">
        <f>+'Statens skalatrin'!O109</f>
        <v>32670.32</v>
      </c>
      <c r="H29" s="540">
        <f t="shared" si="0"/>
        <v>4802.54</v>
      </c>
    </row>
    <row r="30" spans="1:8" ht="15">
      <c r="A30" s="538">
        <v>36</v>
      </c>
      <c r="B30" s="539">
        <f>'Statens skalatrin'!D112</f>
        <v>33852.75</v>
      </c>
      <c r="C30" s="539">
        <f>+'Statens skalatrin'!F112</f>
        <v>34104.67</v>
      </c>
      <c r="D30" s="539">
        <f>+'Statens skalatrin'!H112</f>
        <v>34279.17</v>
      </c>
      <c r="E30" s="539">
        <f>+'Statens skalatrin'!J112</f>
        <v>34531.17</v>
      </c>
      <c r="F30" s="539">
        <f>+'Statens skalatrin'!L112</f>
        <v>34705.5</v>
      </c>
      <c r="G30" s="540">
        <f>+'Statens skalatrin'!O112</f>
        <v>33317.800000000003</v>
      </c>
      <c r="H30" s="540">
        <f t="shared" si="0"/>
        <v>4897.72</v>
      </c>
    </row>
    <row r="31" spans="1:8" ht="15">
      <c r="A31" s="538">
        <v>37</v>
      </c>
      <c r="B31" s="539">
        <f>+'Statens skalatrin'!D115</f>
        <v>34439.75</v>
      </c>
      <c r="C31" s="539">
        <f>+'Statens skalatrin'!F115</f>
        <v>34655.25</v>
      </c>
      <c r="D31" s="539">
        <f>+'Statens skalatrin'!H115</f>
        <v>34804.33</v>
      </c>
      <c r="E31" s="539">
        <f>+'Statens skalatrin'!J115</f>
        <v>35019.75</v>
      </c>
      <c r="F31" s="539">
        <f>+'Statens skalatrin'!L115</f>
        <v>35169</v>
      </c>
      <c r="G31" s="540">
        <f>+'Statens skalatrin'!O115</f>
        <v>33982.199999999997</v>
      </c>
      <c r="H31" s="540">
        <f t="shared" si="0"/>
        <v>4995.38</v>
      </c>
    </row>
    <row r="32" spans="1:8" ht="15">
      <c r="A32" s="893">
        <v>38</v>
      </c>
      <c r="B32" s="540">
        <f>+'Statens skalatrin'!D118</f>
        <v>35059.67</v>
      </c>
      <c r="C32" s="540">
        <f>+'Statens skalatrin'!F118</f>
        <v>35239.919999999998</v>
      </c>
      <c r="D32" s="540">
        <f>+'Statens skalatrin'!H118</f>
        <v>35364.75</v>
      </c>
      <c r="E32" s="540">
        <f>+'Statens skalatrin'!J118</f>
        <v>35545</v>
      </c>
      <c r="F32" s="540">
        <f>+'Statens skalatrin'!L118</f>
        <v>35670.080000000002</v>
      </c>
      <c r="G32" s="540">
        <f>+'Statens skalatrin'!O118</f>
        <v>34676.660000000003</v>
      </c>
      <c r="H32" s="540">
        <f t="shared" si="0"/>
        <v>5097.47</v>
      </c>
    </row>
    <row r="33" spans="1:8" ht="15">
      <c r="A33" s="945">
        <v>39</v>
      </c>
      <c r="B33" s="540">
        <f>+'Statens skalatrin'!D121</f>
        <v>35685.58</v>
      </c>
      <c r="C33" s="540">
        <f>+'Statens skalatrin'!F121</f>
        <v>35824.5</v>
      </c>
      <c r="D33" s="540">
        <f>+'Statens skalatrin'!H121</f>
        <v>35920.67</v>
      </c>
      <c r="E33" s="540">
        <f>+'Statens skalatrin'!J121</f>
        <v>36059.42</v>
      </c>
      <c r="F33" s="540">
        <f>+'Statens skalatrin'!L121</f>
        <v>36155.67</v>
      </c>
      <c r="G33" s="540">
        <f>+'Statens skalatrin'!O121</f>
        <v>35390.800000000003</v>
      </c>
      <c r="H33" s="540">
        <f t="shared" ref="H33:H34" si="1">ROUND(G33*$H$7,2)</f>
        <v>5202.45</v>
      </c>
    </row>
    <row r="34" spans="1:8" ht="15">
      <c r="A34" s="893">
        <v>40</v>
      </c>
      <c r="B34" s="540">
        <f>+'Statens skalatrin'!D124</f>
        <v>36325.25</v>
      </c>
      <c r="C34" s="540">
        <f>+'Statens skalatrin'!F124</f>
        <v>36420.17</v>
      </c>
      <c r="D34" s="540">
        <f>+'Statens skalatrin'!H124</f>
        <v>36485.919999999998</v>
      </c>
      <c r="E34" s="540">
        <f>+'Statens skalatrin'!J124</f>
        <v>36580.83</v>
      </c>
      <c r="F34" s="540">
        <f>+'Statens skalatrin'!L124</f>
        <v>36646.67</v>
      </c>
      <c r="G34" s="540">
        <f>+'Statens skalatrin'!O124</f>
        <v>36123.42</v>
      </c>
      <c r="H34" s="540">
        <f t="shared" si="1"/>
        <v>5310.14</v>
      </c>
    </row>
    <row r="35" spans="1:8" ht="15">
      <c r="A35" s="970">
        <v>41</v>
      </c>
      <c r="B35" s="540">
        <f>+'Statens skalatrin'!D127</f>
        <v>36978.83</v>
      </c>
      <c r="C35" s="540">
        <f>+'Statens skalatrin'!F127</f>
        <v>37027.42</v>
      </c>
      <c r="D35" s="540">
        <f>+'Statens skalatrin'!H127</f>
        <v>37061.25</v>
      </c>
      <c r="E35" s="540">
        <f>+'Statens skalatrin'!J127</f>
        <v>37110</v>
      </c>
      <c r="F35" s="540">
        <f>+'Statens skalatrin'!L127</f>
        <v>37143.58</v>
      </c>
      <c r="G35" s="540">
        <f>+'Statens skalatrin'!O127</f>
        <v>36875.160000000003</v>
      </c>
      <c r="H35" s="540">
        <f>ROUND(G35*$H$7,2)</f>
        <v>5420.65</v>
      </c>
    </row>
    <row r="36" spans="1:8" ht="15.6" thickBot="1">
      <c r="A36" s="894">
        <v>42</v>
      </c>
      <c r="B36" s="971">
        <f>+'Statens skalatrin'!D130</f>
        <v>37646.58</v>
      </c>
      <c r="C36" s="971">
        <f>+'Statens skalatrin'!F130</f>
        <v>37646.58</v>
      </c>
      <c r="D36" s="971">
        <f>+'Statens skalatrin'!H130</f>
        <v>37646.58</v>
      </c>
      <c r="E36" s="971">
        <f>+'Statens skalatrin'!J130</f>
        <v>37646.58</v>
      </c>
      <c r="F36" s="971">
        <f>+'Statens skalatrin'!L130</f>
        <v>37646.58</v>
      </c>
      <c r="G36" s="971">
        <f>+'Statens skalatrin'!O130</f>
        <v>37646.49</v>
      </c>
      <c r="H36" s="971">
        <f t="shared" ref="H36" si="2">ROUND(G36*$H$7,2)</f>
        <v>5534.03</v>
      </c>
    </row>
    <row r="37" spans="1:8" ht="21.6" thickBot="1">
      <c r="A37" s="1713" t="s">
        <v>451</v>
      </c>
      <c r="B37" s="1714"/>
      <c r="C37" s="1714"/>
      <c r="D37" s="1714"/>
      <c r="E37" s="1714"/>
      <c r="F37" s="1715"/>
      <c r="G37" s="1708" t="s">
        <v>372</v>
      </c>
      <c r="H37" s="1709"/>
    </row>
    <row r="38" spans="1:8" ht="25.95" customHeight="1" thickBot="1">
      <c r="A38" s="1682" t="s">
        <v>449</v>
      </c>
      <c r="B38" s="1683"/>
      <c r="C38" s="1683"/>
      <c r="D38" s="1683"/>
      <c r="E38" s="1683"/>
      <c r="F38" s="1683"/>
      <c r="G38" s="1683"/>
      <c r="H38" s="1684"/>
    </row>
    <row r="39" spans="1:8" ht="25.95" customHeight="1" thickBot="1">
      <c r="A39" s="492" t="s">
        <v>57</v>
      </c>
      <c r="B39" s="492" t="s">
        <v>72</v>
      </c>
      <c r="C39" s="492" t="s">
        <v>73</v>
      </c>
      <c r="D39" s="492" t="s">
        <v>74</v>
      </c>
      <c r="E39" s="492" t="s">
        <v>75</v>
      </c>
      <c r="F39" s="492" t="s">
        <v>76</v>
      </c>
      <c r="G39" s="492" t="s">
        <v>210</v>
      </c>
      <c r="H39" s="674">
        <v>0.16200000000000001</v>
      </c>
    </row>
    <row r="40" spans="1:8" ht="16.5" customHeight="1">
      <c r="A40" s="599">
        <v>43</v>
      </c>
      <c r="B40" s="541">
        <f>'Statens skalatrin'!D133</f>
        <v>38482.33</v>
      </c>
      <c r="C40" s="541">
        <f>+'Statens skalatrin'!F133</f>
        <v>38482.33</v>
      </c>
      <c r="D40" s="541">
        <f>+'Statens skalatrin'!H133</f>
        <v>38482.33</v>
      </c>
      <c r="E40" s="541">
        <f>+'Statens skalatrin'!J133</f>
        <v>38482.33</v>
      </c>
      <c r="F40" s="541">
        <f>+'Statens skalatrin'!L133</f>
        <v>38482.33</v>
      </c>
      <c r="G40" s="541">
        <f>+'Statens skalatrin'!O133</f>
        <v>38482.300000000003</v>
      </c>
      <c r="H40" s="542">
        <f>ROUND(G40*$H$39,2)</f>
        <v>6234.13</v>
      </c>
    </row>
    <row r="41" spans="1:8" ht="15">
      <c r="A41" s="538">
        <v>44</v>
      </c>
      <c r="B41" s="539">
        <f>'Statens skalatrin'!D136</f>
        <v>39340.92</v>
      </c>
      <c r="C41" s="539">
        <f>+'Statens skalatrin'!F136</f>
        <v>39340.92</v>
      </c>
      <c r="D41" s="539">
        <f>+'Statens skalatrin'!H136</f>
        <v>39340.92</v>
      </c>
      <c r="E41" s="539">
        <f>+'Statens skalatrin'!J136</f>
        <v>39340.92</v>
      </c>
      <c r="F41" s="539">
        <f>+'Statens skalatrin'!L136</f>
        <v>39340.92</v>
      </c>
      <c r="G41" s="539">
        <f>+'Statens skalatrin'!O136</f>
        <v>39340.94</v>
      </c>
      <c r="H41" s="542">
        <f t="shared" ref="H41:H43" si="3">ROUND(G41*$H$39,2)</f>
        <v>6373.23</v>
      </c>
    </row>
    <row r="42" spans="1:8" ht="15">
      <c r="A42" s="538">
        <v>46</v>
      </c>
      <c r="B42" s="539">
        <f>'Statens skalatrin'!D142</f>
        <v>41130.080000000002</v>
      </c>
      <c r="C42" s="539">
        <f>+'Statens skalatrin'!F142</f>
        <v>41130.080000000002</v>
      </c>
      <c r="D42" s="539">
        <f>+'Statens skalatrin'!H142</f>
        <v>41130.080000000002</v>
      </c>
      <c r="E42" s="539">
        <f>+'Statens skalatrin'!J142</f>
        <v>41130.080000000002</v>
      </c>
      <c r="F42" s="539">
        <f>+'Statens skalatrin'!L142</f>
        <v>41130.080000000002</v>
      </c>
      <c r="G42" s="539">
        <f>+'Statens skalatrin'!O142</f>
        <v>41130.050000000003</v>
      </c>
      <c r="H42" s="542">
        <f t="shared" si="3"/>
        <v>6663.07</v>
      </c>
    </row>
    <row r="43" spans="1:8" ht="15.6" thickBot="1">
      <c r="A43" s="543">
        <v>48</v>
      </c>
      <c r="B43" s="673">
        <f>'Statens skalatrin'!D148</f>
        <v>45908.17</v>
      </c>
      <c r="C43" s="673">
        <f>+'Statens skalatrin'!F148</f>
        <v>45908.17</v>
      </c>
      <c r="D43" s="673">
        <f>+'Statens skalatrin'!H148</f>
        <v>45908.17</v>
      </c>
      <c r="E43" s="673">
        <f>+'Statens skalatrin'!J148</f>
        <v>45908.17</v>
      </c>
      <c r="F43" s="673">
        <f>+'Statens skalatrin'!L148</f>
        <v>45908.17</v>
      </c>
      <c r="G43" s="673">
        <f>+'Statens skalatrin'!O148</f>
        <v>45908.06</v>
      </c>
      <c r="H43" s="542">
        <f t="shared" si="3"/>
        <v>7437.11</v>
      </c>
    </row>
    <row r="44" spans="1:8" ht="15" customHeight="1" thickBot="1">
      <c r="A44" s="1698"/>
      <c r="B44" s="1698"/>
      <c r="C44" s="1698"/>
      <c r="D44" s="1698"/>
      <c r="E44" s="1698"/>
      <c r="F44" s="1698"/>
      <c r="G44" s="1698"/>
      <c r="H44" s="1698"/>
    </row>
    <row r="45" spans="1:8" ht="17.399999999999999">
      <c r="A45" s="1099" t="s">
        <v>448</v>
      </c>
      <c r="B45" s="1100"/>
      <c r="C45" s="1100"/>
      <c r="D45" s="1100"/>
      <c r="E45" s="1100"/>
      <c r="F45" s="1100"/>
      <c r="G45" s="1100"/>
      <c r="H45" s="1101"/>
    </row>
    <row r="46" spans="1:8" ht="25.95" customHeight="1" thickBot="1">
      <c r="A46" s="1632" t="s">
        <v>284</v>
      </c>
      <c r="B46" s="1633"/>
      <c r="C46" s="1633"/>
      <c r="D46" s="1633"/>
      <c r="E46" s="1633"/>
      <c r="F46" s="1633"/>
      <c r="G46" s="1633"/>
      <c r="H46" s="1634"/>
    </row>
    <row r="47" spans="1:8" ht="25.95" customHeight="1">
      <c r="A47" s="927"/>
      <c r="B47" s="928"/>
      <c r="C47" s="929"/>
      <c r="D47" s="1717" t="s">
        <v>128</v>
      </c>
      <c r="E47" s="1718"/>
      <c r="F47" s="1717" t="s">
        <v>306</v>
      </c>
      <c r="G47" s="1718"/>
      <c r="H47" s="627" t="s">
        <v>253</v>
      </c>
    </row>
    <row r="48" spans="1:8" ht="15.75" customHeight="1" thickBot="1">
      <c r="A48" s="930"/>
      <c r="B48" s="931"/>
      <c r="C48" s="932"/>
      <c r="D48" s="1719">
        <v>40999</v>
      </c>
      <c r="E48" s="1720"/>
      <c r="F48" s="1719" t="str">
        <f>'Løntabel gældende fra'!D1</f>
        <v>01-11-2025</v>
      </c>
      <c r="G48" s="1720"/>
      <c r="H48" s="528" t="str">
        <f>'Løntabel gældende fra'!$D$1</f>
        <v>01-11-2025</v>
      </c>
    </row>
    <row r="49" spans="1:8" ht="15" customHeight="1">
      <c r="A49" s="1614" t="s">
        <v>503</v>
      </c>
      <c r="B49" s="1615"/>
      <c r="C49" s="1616"/>
      <c r="D49" s="1609">
        <v>4500</v>
      </c>
      <c r="E49" s="1610"/>
      <c r="F49" s="1699">
        <f>ROUND(+D49*(1+'Løntabel gældende fra'!$D$7/100),2)</f>
        <v>5621.07</v>
      </c>
      <c r="G49" s="1700">
        <f>+E49*(1+'Løntabel gældende fra'!$D$7/100)</f>
        <v>0</v>
      </c>
      <c r="H49" s="933">
        <f>ROUND(F49/12,2)</f>
        <v>468.42</v>
      </c>
    </row>
    <row r="50" spans="1:8" ht="15" customHeight="1" thickBot="1">
      <c r="A50" s="1611" t="s">
        <v>509</v>
      </c>
      <c r="B50" s="1612"/>
      <c r="C50" s="1613"/>
      <c r="D50" s="1620">
        <v>4398</v>
      </c>
      <c r="E50" s="1621"/>
      <c r="F50" s="1648">
        <f>ROUND(+D50*(1+'Løntabel gældende fra'!$D$7/100),2)</f>
        <v>5493.66</v>
      </c>
      <c r="G50" s="1649">
        <f>+E50*(1+'Løntabel gældende fra'!$D$7/100)</f>
        <v>0</v>
      </c>
      <c r="H50" s="934">
        <f>ROUND(F50/12,2)</f>
        <v>457.81</v>
      </c>
    </row>
    <row r="51" spans="1:8" ht="15" customHeight="1" thickBot="1">
      <c r="A51" s="1725"/>
      <c r="B51" s="1726"/>
      <c r="C51" s="1726"/>
      <c r="D51" s="1726"/>
      <c r="E51" s="1726"/>
      <c r="F51" s="1726"/>
      <c r="G51" s="1726"/>
      <c r="H51" s="1727"/>
    </row>
    <row r="52" spans="1:8" ht="17.399999999999999">
      <c r="A52" s="1099" t="s">
        <v>504</v>
      </c>
      <c r="B52" s="1100"/>
      <c r="C52" s="1100"/>
      <c r="D52" s="1100"/>
      <c r="E52" s="1100"/>
      <c r="F52" s="1100"/>
      <c r="G52" s="1100"/>
      <c r="H52" s="1101"/>
    </row>
    <row r="53" spans="1:8" ht="25.95" customHeight="1" thickBot="1">
      <c r="A53" s="1632" t="s">
        <v>284</v>
      </c>
      <c r="B53" s="1633"/>
      <c r="C53" s="1633"/>
      <c r="D53" s="1633"/>
      <c r="E53" s="1633"/>
      <c r="F53" s="1633"/>
      <c r="G53" s="1633"/>
      <c r="H53" s="1634"/>
    </row>
    <row r="54" spans="1:8" ht="25.95" customHeight="1">
      <c r="A54" s="927"/>
      <c r="B54" s="928"/>
      <c r="C54" s="929"/>
      <c r="D54" s="1628" t="s">
        <v>128</v>
      </c>
      <c r="E54" s="1629"/>
      <c r="F54" s="1628" t="s">
        <v>306</v>
      </c>
      <c r="G54" s="1629"/>
      <c r="H54" s="627" t="s">
        <v>253</v>
      </c>
    </row>
    <row r="55" spans="1:8" ht="15.75" customHeight="1" thickBot="1">
      <c r="A55" s="930"/>
      <c r="B55" s="931"/>
      <c r="C55" s="932"/>
      <c r="D55" s="1644">
        <v>40999</v>
      </c>
      <c r="E55" s="1645"/>
      <c r="F55" s="1703" t="str">
        <f>'Løntabel gældende fra'!D1</f>
        <v>01-11-2025</v>
      </c>
      <c r="G55" s="1645"/>
      <c r="H55" s="528" t="str">
        <f>'Løntabel gældende fra'!$D$1</f>
        <v>01-11-2025</v>
      </c>
    </row>
    <row r="56" spans="1:8" ht="15" customHeight="1">
      <c r="A56" s="1614" t="s">
        <v>503</v>
      </c>
      <c r="B56" s="1615"/>
      <c r="C56" s="1616"/>
      <c r="D56" s="1701">
        <v>2000</v>
      </c>
      <c r="E56" s="1702"/>
      <c r="F56" s="1701">
        <f>ROUND(+D56*(1+'Løntabel gældende fra'!$D$7/100),2)</f>
        <v>2498.25</v>
      </c>
      <c r="G56" s="1702"/>
      <c r="H56" s="933">
        <f>ROUND(F56/12,2)</f>
        <v>208.19</v>
      </c>
    </row>
    <row r="57" spans="1:8" ht="15" customHeight="1" thickBot="1">
      <c r="A57" s="1617" t="s">
        <v>508</v>
      </c>
      <c r="B57" s="1618"/>
      <c r="C57" s="1619"/>
      <c r="D57" s="1620">
        <v>8018</v>
      </c>
      <c r="E57" s="1621"/>
      <c r="F57" s="1648">
        <f>ROUND(+D57*(1+'Løntabel gældende fra'!$D$7/100),2)</f>
        <v>10015.49</v>
      </c>
      <c r="G57" s="1649">
        <f>+E57*(1+'Løntabel gældende fra'!$D$7/100)</f>
        <v>0</v>
      </c>
      <c r="H57" s="934">
        <f>ROUND(F57/12,2)</f>
        <v>834.62</v>
      </c>
    </row>
    <row r="58" spans="1:8" ht="15" customHeight="1" thickBot="1">
      <c r="A58" s="1008"/>
      <c r="B58" s="1008"/>
      <c r="C58" s="1008"/>
      <c r="D58" s="1008"/>
      <c r="E58" s="1008"/>
      <c r="F58" s="1008"/>
      <c r="G58" s="1008"/>
      <c r="H58" s="1008"/>
    </row>
    <row r="59" spans="1:8" ht="17.399999999999999">
      <c r="A59" s="1099" t="s">
        <v>516</v>
      </c>
      <c r="B59" s="1100"/>
      <c r="C59" s="1100"/>
      <c r="D59" s="1100"/>
      <c r="E59" s="1100"/>
      <c r="F59" s="1100"/>
      <c r="G59" s="1100"/>
      <c r="H59" s="1101"/>
    </row>
    <row r="60" spans="1:8" ht="25.95" customHeight="1" thickBot="1">
      <c r="A60" s="1632" t="s">
        <v>284</v>
      </c>
      <c r="B60" s="1633"/>
      <c r="C60" s="1633"/>
      <c r="D60" s="1633"/>
      <c r="E60" s="1633"/>
      <c r="F60" s="1633"/>
      <c r="G60" s="1633"/>
      <c r="H60" s="1634"/>
    </row>
    <row r="61" spans="1:8" ht="25.95" customHeight="1">
      <c r="A61" s="1635" t="s">
        <v>505</v>
      </c>
      <c r="B61" s="1636"/>
      <c r="C61" s="1637"/>
      <c r="D61" s="1628" t="s">
        <v>128</v>
      </c>
      <c r="E61" s="1629"/>
      <c r="F61" s="1628" t="s">
        <v>306</v>
      </c>
      <c r="G61" s="1629"/>
      <c r="H61" s="627" t="s">
        <v>253</v>
      </c>
    </row>
    <row r="62" spans="1:8" ht="15.75" customHeight="1" thickBot="1">
      <c r="A62" s="1638"/>
      <c r="B62" s="1639"/>
      <c r="C62" s="1640"/>
      <c r="D62" s="1644">
        <v>40999</v>
      </c>
      <c r="E62" s="1645"/>
      <c r="F62" s="1644" t="str">
        <f>H62</f>
        <v>01-11-2025</v>
      </c>
      <c r="G62" s="1704"/>
      <c r="H62" s="528" t="str">
        <f>'Løntabel gældende fra'!$D$1</f>
        <v>01-11-2025</v>
      </c>
    </row>
    <row r="63" spans="1:8" ht="15" customHeight="1" thickBot="1">
      <c r="A63" s="1641"/>
      <c r="B63" s="1642"/>
      <c r="C63" s="1643"/>
      <c r="D63" s="1646">
        <v>5500</v>
      </c>
      <c r="E63" s="1647"/>
      <c r="F63" s="1646">
        <f>ROUND(+D63*(1+'Løntabel gældende fra'!$D$7/100),2)</f>
        <v>6870.19</v>
      </c>
      <c r="G63" s="1647"/>
      <c r="H63" s="628">
        <f>ROUND(F63/12,2)</f>
        <v>572.52</v>
      </c>
    </row>
    <row r="64" spans="1:8" ht="15" customHeight="1" thickBot="1">
      <c r="A64" s="1008"/>
      <c r="B64" s="1008"/>
      <c r="C64" s="1008"/>
      <c r="D64" s="1008"/>
      <c r="E64" s="1008"/>
      <c r="F64" s="1008"/>
      <c r="G64" s="1008"/>
      <c r="H64" s="1008"/>
    </row>
    <row r="65" spans="1:8" ht="17.399999999999999">
      <c r="A65" s="1099" t="s">
        <v>517</v>
      </c>
      <c r="B65" s="1100"/>
      <c r="C65" s="1100"/>
      <c r="D65" s="1100"/>
      <c r="E65" s="1100"/>
      <c r="F65" s="1100"/>
      <c r="G65" s="1100"/>
      <c r="H65" s="1101"/>
    </row>
    <row r="66" spans="1:8" ht="25.95" customHeight="1" thickBot="1">
      <c r="A66" s="1632" t="s">
        <v>284</v>
      </c>
      <c r="B66" s="1633"/>
      <c r="C66" s="1633"/>
      <c r="D66" s="1633"/>
      <c r="E66" s="1633"/>
      <c r="F66" s="1633"/>
      <c r="G66" s="1633"/>
      <c r="H66" s="1634"/>
    </row>
    <row r="67" spans="1:8" ht="25.95" customHeight="1">
      <c r="A67" s="1635" t="s">
        <v>505</v>
      </c>
      <c r="B67" s="1636"/>
      <c r="C67" s="1637"/>
      <c r="D67" s="1628" t="s">
        <v>128</v>
      </c>
      <c r="E67" s="1629"/>
      <c r="F67" s="1628" t="s">
        <v>306</v>
      </c>
      <c r="G67" s="1629"/>
      <c r="H67" s="627" t="s">
        <v>253</v>
      </c>
    </row>
    <row r="68" spans="1:8" ht="15.75" customHeight="1" thickBot="1">
      <c r="A68" s="1638"/>
      <c r="B68" s="1639"/>
      <c r="C68" s="1640"/>
      <c r="D68" s="1644">
        <v>40999</v>
      </c>
      <c r="E68" s="1645"/>
      <c r="F68" s="1644" t="str">
        <f>H68</f>
        <v>01-11-2025</v>
      </c>
      <c r="G68" s="1704"/>
      <c r="H68" s="528" t="str">
        <f>'Løntabel gældende fra'!$D$1</f>
        <v>01-11-2025</v>
      </c>
    </row>
    <row r="69" spans="1:8" ht="15" customHeight="1" thickBot="1">
      <c r="A69" s="1641"/>
      <c r="B69" s="1642"/>
      <c r="C69" s="1643"/>
      <c r="D69" s="1646">
        <v>4000</v>
      </c>
      <c r="E69" s="1647"/>
      <c r="F69" s="1646">
        <f>ROUND(+D69*(1+'Løntabel gældende fra'!$D$7/100),2)</f>
        <v>4996.5</v>
      </c>
      <c r="G69" s="1647"/>
      <c r="H69" s="628">
        <f>ROUND(F69/12,2)</f>
        <v>416.38</v>
      </c>
    </row>
    <row r="70" spans="1:8" ht="15" customHeight="1" thickBot="1">
      <c r="A70" s="1008"/>
      <c r="B70" s="1008"/>
      <c r="C70" s="1008"/>
      <c r="D70" s="1008"/>
      <c r="E70" s="1008"/>
      <c r="F70" s="1008"/>
      <c r="G70" s="1008"/>
      <c r="H70" s="1008"/>
    </row>
    <row r="71" spans="1:8" ht="17.399999999999999">
      <c r="A71" s="1099" t="s">
        <v>202</v>
      </c>
      <c r="B71" s="1100"/>
      <c r="C71" s="1100"/>
      <c r="D71" s="1100"/>
      <c r="E71" s="1100"/>
      <c r="F71" s="1100"/>
      <c r="G71" s="1100"/>
      <c r="H71" s="1101"/>
    </row>
    <row r="72" spans="1:8" ht="19.95" customHeight="1" thickBot="1">
      <c r="A72" s="1154" t="s">
        <v>314</v>
      </c>
      <c r="B72" s="1155"/>
      <c r="C72" s="1155"/>
      <c r="D72" s="1155"/>
      <c r="E72" s="1155"/>
      <c r="F72" s="1155"/>
      <c r="G72" s="1155"/>
      <c r="H72" s="1156"/>
    </row>
    <row r="73" spans="1:8" ht="25.95" customHeight="1">
      <c r="A73" s="927"/>
      <c r="B73" s="928"/>
      <c r="C73" s="928"/>
      <c r="D73" s="1628" t="s">
        <v>128</v>
      </c>
      <c r="E73" s="1629"/>
      <c r="F73" s="1628" t="s">
        <v>306</v>
      </c>
      <c r="G73" s="1629"/>
      <c r="H73" s="627" t="s">
        <v>253</v>
      </c>
    </row>
    <row r="74" spans="1:8" ht="15" customHeight="1" thickBot="1">
      <c r="A74" s="935"/>
      <c r="B74" s="936"/>
      <c r="C74" s="936"/>
      <c r="D74" s="1644">
        <v>40999</v>
      </c>
      <c r="E74" s="1645"/>
      <c r="F74" s="1703" t="str">
        <f>'Løntabel gældende fra'!D1</f>
        <v>01-11-2025</v>
      </c>
      <c r="G74" s="1645"/>
      <c r="H74" s="528" t="str">
        <f>'Løntabel gældende fra'!$D$1</f>
        <v>01-11-2025</v>
      </c>
    </row>
    <row r="75" spans="1:8" ht="15" customHeight="1">
      <c r="A75" s="1622" t="s">
        <v>289</v>
      </c>
      <c r="B75" s="1623"/>
      <c r="C75" s="1624"/>
      <c r="D75" s="1678">
        <v>6480</v>
      </c>
      <c r="E75" s="1679"/>
      <c r="F75" s="1678">
        <f>ROUND(+D75*(1+'Løntabel gældende fra'!$D$7/100),2)</f>
        <v>8094.34</v>
      </c>
      <c r="G75" s="1679"/>
      <c r="H75" s="937">
        <f>ROUND(F75/12,2)</f>
        <v>674.53</v>
      </c>
    </row>
    <row r="76" spans="1:8" ht="15" customHeight="1">
      <c r="A76" s="1625" t="s">
        <v>455</v>
      </c>
      <c r="B76" s="1626"/>
      <c r="C76" s="1627"/>
      <c r="D76" s="1630">
        <v>6480</v>
      </c>
      <c r="E76" s="1631"/>
      <c r="F76" s="1630">
        <f>ROUND(+D76*(1+'Løntabel gældende fra'!$D$7/100),2)</f>
        <v>8094.34</v>
      </c>
      <c r="G76" s="1631"/>
      <c r="H76" s="938">
        <f>ROUND(F76/12,2)</f>
        <v>674.53</v>
      </c>
    </row>
    <row r="77" spans="1:8" ht="33" customHeight="1">
      <c r="A77" s="1625" t="s">
        <v>506</v>
      </c>
      <c r="B77" s="1626"/>
      <c r="C77" s="1627"/>
      <c r="D77" s="1630">
        <v>3240</v>
      </c>
      <c r="E77" s="1631"/>
      <c r="F77" s="1630">
        <f>ROUND(+D77*(1+'Løntabel gældende fra'!$D$7/100),2)</f>
        <v>4047.17</v>
      </c>
      <c r="G77" s="1631"/>
      <c r="H77" s="938">
        <f>ROUND(F77/12,2)</f>
        <v>337.26</v>
      </c>
    </row>
    <row r="78" spans="1:8" ht="34.049999999999997" customHeight="1" thickBot="1">
      <c r="A78" s="1736" t="s">
        <v>502</v>
      </c>
      <c r="B78" s="1737"/>
      <c r="C78" s="1738"/>
      <c r="D78" s="1620">
        <v>8000</v>
      </c>
      <c r="E78" s="1621"/>
      <c r="F78" s="1620">
        <f>ROUND(+D78*(1+'Løntabel gældende fra'!$D$7/100),2)</f>
        <v>9993.01</v>
      </c>
      <c r="G78" s="1621"/>
      <c r="H78" s="934">
        <f>ROUND(F78/12,2)</f>
        <v>832.75</v>
      </c>
    </row>
    <row r="79" spans="1:8" ht="19.95" customHeight="1" thickBot="1">
      <c r="A79" s="255"/>
      <c r="B79" s="255"/>
      <c r="C79" s="255"/>
      <c r="D79" s="255"/>
      <c r="E79" s="255"/>
      <c r="F79" s="243"/>
      <c r="G79" s="243"/>
      <c r="H79" s="619"/>
    </row>
    <row r="80" spans="1:8" ht="27" customHeight="1">
      <c r="A80" s="1099" t="s">
        <v>282</v>
      </c>
      <c r="B80" s="1100"/>
      <c r="C80" s="1100"/>
      <c r="D80" s="1100"/>
      <c r="E80" s="1100"/>
      <c r="F80" s="1100"/>
      <c r="G80" s="1100"/>
      <c r="H80" s="1101"/>
    </row>
    <row r="81" spans="1:8" ht="19.95" customHeight="1" thickBot="1">
      <c r="A81" s="1154" t="s">
        <v>280</v>
      </c>
      <c r="B81" s="1155"/>
      <c r="C81" s="1155"/>
      <c r="D81" s="1155"/>
      <c r="E81" s="1155"/>
      <c r="F81" s="1155"/>
      <c r="G81" s="1155"/>
      <c r="H81" s="1156"/>
    </row>
    <row r="82" spans="1:8" ht="19.95" customHeight="1">
      <c r="A82" s="624"/>
      <c r="B82" s="625"/>
      <c r="C82" s="625"/>
      <c r="D82" s="625"/>
      <c r="E82" s="625"/>
      <c r="F82" s="625"/>
      <c r="G82" s="627" t="s">
        <v>95</v>
      </c>
      <c r="H82" s="626" t="s">
        <v>100</v>
      </c>
    </row>
    <row r="83" spans="1:8" ht="15" customHeight="1" thickBot="1">
      <c r="A83" s="622"/>
      <c r="B83" s="623"/>
      <c r="C83" s="623"/>
      <c r="D83" s="623"/>
      <c r="E83" s="623"/>
      <c r="F83" s="623"/>
      <c r="G83" s="528">
        <v>40999</v>
      </c>
      <c r="H83" s="544" t="str">
        <f>'Løntabel gældende fra'!$D$1</f>
        <v>01-11-2025</v>
      </c>
    </row>
    <row r="84" spans="1:8" s="224" customFormat="1" ht="15.75" customHeight="1">
      <c r="A84" s="1732" t="s">
        <v>198</v>
      </c>
      <c r="B84" s="1733"/>
      <c r="C84" s="1733"/>
      <c r="D84" s="1733"/>
      <c r="E84" s="1733"/>
      <c r="F84" s="887" t="s">
        <v>162</v>
      </c>
      <c r="G84" s="888">
        <v>22.32</v>
      </c>
      <c r="H84" s="889">
        <f>ROUND(G84+G84*'Løntabel gældende fra'!$D$7%,2)</f>
        <v>27.88</v>
      </c>
    </row>
    <row r="85" spans="1:8" ht="16.5" customHeight="1">
      <c r="A85" s="1694" t="s">
        <v>444</v>
      </c>
      <c r="B85" s="1695"/>
      <c r="C85" s="1695"/>
      <c r="D85" s="1695"/>
      <c r="E85" s="1695"/>
      <c r="F85" s="1639" t="s">
        <v>162</v>
      </c>
      <c r="G85" s="1692">
        <v>39.92</v>
      </c>
      <c r="H85" s="1685">
        <f>ROUND(G85+G85*'Løntabel gældende fra'!$D$7%,2)</f>
        <v>49.87</v>
      </c>
    </row>
    <row r="86" spans="1:8" ht="30.6" customHeight="1">
      <c r="A86" s="1696"/>
      <c r="B86" s="1697"/>
      <c r="C86" s="1697"/>
      <c r="D86" s="1697"/>
      <c r="E86" s="1697"/>
      <c r="F86" s="1615"/>
      <c r="G86" s="1693"/>
      <c r="H86" s="1686"/>
    </row>
    <row r="87" spans="1:8" s="224" customFormat="1" ht="15">
      <c r="A87" s="1728" t="s">
        <v>161</v>
      </c>
      <c r="B87" s="1729"/>
      <c r="C87" s="1729"/>
      <c r="D87" s="1729"/>
      <c r="E87" s="1729"/>
      <c r="F87" s="620" t="s">
        <v>162</v>
      </c>
      <c r="G87" s="527">
        <v>39.92</v>
      </c>
      <c r="H87" s="546">
        <f>ROUND(G87+G87*'Løntabel gældende fra'!$D$7%,2)</f>
        <v>49.87</v>
      </c>
    </row>
    <row r="88" spans="1:8" ht="16.05" customHeight="1">
      <c r="A88" s="1734" t="s">
        <v>215</v>
      </c>
      <c r="B88" s="1735"/>
      <c r="C88" s="1735"/>
      <c r="D88" s="1735"/>
      <c r="E88" s="1735"/>
      <c r="F88" s="618" t="s">
        <v>162</v>
      </c>
      <c r="G88" s="527">
        <v>39.92</v>
      </c>
      <c r="H88" s="546">
        <f>ROUND(G88+G88*'Løntabel gældende fra'!$D$7%,2)</f>
        <v>49.87</v>
      </c>
    </row>
    <row r="89" spans="1:8" ht="15">
      <c r="A89" s="1728" t="s">
        <v>373</v>
      </c>
      <c r="B89" s="1729"/>
      <c r="C89" s="1729"/>
      <c r="D89" s="1729"/>
      <c r="E89" s="1729"/>
      <c r="F89" s="620" t="s">
        <v>163</v>
      </c>
      <c r="G89" s="527">
        <v>39.92</v>
      </c>
      <c r="H89" s="546">
        <f>ROUND(G89+G89*'Løntabel gældende fra'!$D$7%,2)</f>
        <v>49.87</v>
      </c>
    </row>
    <row r="90" spans="1:8" ht="15">
      <c r="A90" s="1728" t="s">
        <v>374</v>
      </c>
      <c r="B90" s="1729"/>
      <c r="C90" s="1729"/>
      <c r="D90" s="1729"/>
      <c r="E90" s="1729"/>
      <c r="F90" s="620" t="s">
        <v>163</v>
      </c>
      <c r="G90" s="527">
        <v>91.84</v>
      </c>
      <c r="H90" s="546">
        <f>ROUND(G90+G90*'Løntabel gældende fra'!$D$7%,2)</f>
        <v>114.72</v>
      </c>
    </row>
    <row r="91" spans="1:8" ht="15.6" thickBot="1">
      <c r="A91" s="1730" t="s">
        <v>375</v>
      </c>
      <c r="B91" s="1731"/>
      <c r="C91" s="1731"/>
      <c r="D91" s="1731"/>
      <c r="E91" s="1731"/>
      <c r="F91" s="621" t="s">
        <v>162</v>
      </c>
      <c r="G91" s="526">
        <v>39.92</v>
      </c>
      <c r="H91" s="545">
        <f>ROUND(G91+G91*'Løntabel gældende fra'!$D$7%,2)</f>
        <v>49.87</v>
      </c>
    </row>
    <row r="92" spans="1:8" ht="14.4" thickBot="1">
      <c r="A92" s="255"/>
      <c r="B92" s="255"/>
      <c r="C92" s="255"/>
      <c r="D92" s="255"/>
      <c r="E92" s="255"/>
      <c r="F92" s="243"/>
      <c r="G92" s="243"/>
    </row>
    <row r="93" spans="1:8" ht="27" customHeight="1" thickBot="1">
      <c r="A93" s="1721" t="s">
        <v>417</v>
      </c>
      <c r="B93" s="1722"/>
      <c r="C93" s="1722"/>
      <c r="D93" s="1722"/>
      <c r="E93" s="1722"/>
      <c r="F93" s="1722"/>
      <c r="G93" s="1722"/>
      <c r="H93" s="1723"/>
    </row>
    <row r="94" spans="1:8" ht="15.6">
      <c r="A94" s="1672" t="s">
        <v>159</v>
      </c>
      <c r="B94" s="1673"/>
      <c r="C94" s="1673"/>
      <c r="D94" s="1674"/>
      <c r="E94" s="1724" t="s">
        <v>307</v>
      </c>
      <c r="F94" s="1724"/>
      <c r="G94" s="1654" t="s">
        <v>308</v>
      </c>
      <c r="H94" s="1655"/>
    </row>
    <row r="95" spans="1:8" ht="13.05" customHeight="1" thickBot="1">
      <c r="A95" s="1675"/>
      <c r="B95" s="1676"/>
      <c r="C95" s="1676"/>
      <c r="D95" s="1677"/>
      <c r="E95" s="1661">
        <v>40999</v>
      </c>
      <c r="F95" s="1662"/>
      <c r="G95" s="1652" t="str">
        <f>'Løntabel gældende fra'!$D$1</f>
        <v>01-11-2025</v>
      </c>
      <c r="H95" s="1653"/>
    </row>
    <row r="96" spans="1:8" ht="15" customHeight="1">
      <c r="A96" s="1669" t="s">
        <v>436</v>
      </c>
      <c r="B96" s="1670"/>
      <c r="C96" s="1670"/>
      <c r="D96" s="1671"/>
      <c r="E96" s="1659">
        <v>138.5</v>
      </c>
      <c r="F96" s="1660"/>
      <c r="G96" s="1659">
        <f>ROUND(+E96*(1+'Løntabel gældende fra'!$D$7/100),2)</f>
        <v>173</v>
      </c>
      <c r="H96" s="1660"/>
    </row>
    <row r="97" spans="1:8" ht="15" customHeight="1">
      <c r="A97" s="946" t="s">
        <v>437</v>
      </c>
      <c r="B97" s="947"/>
      <c r="C97" s="947"/>
      <c r="D97" s="948"/>
      <c r="E97" s="1680">
        <v>164</v>
      </c>
      <c r="F97" s="1681"/>
      <c r="G97" s="1680">
        <f>ROUND(+E97*(1+'Løntabel gældende fra'!$D$7/100),2)</f>
        <v>204.86</v>
      </c>
      <c r="H97" s="1681"/>
    </row>
    <row r="98" spans="1:8" ht="15.6" thickBot="1">
      <c r="A98" s="1663" t="s">
        <v>226</v>
      </c>
      <c r="B98" s="1664"/>
      <c r="C98" s="1664"/>
      <c r="D98" s="1665"/>
      <c r="E98" s="1650">
        <v>185</v>
      </c>
      <c r="F98" s="1651"/>
      <c r="G98" s="1650">
        <f>ROUND(+E98*(1+'Løntabel gældende fra'!$D$7/100),2)</f>
        <v>231.09</v>
      </c>
      <c r="H98" s="1651"/>
    </row>
    <row r="99" spans="1:8" ht="14.4" thickBot="1">
      <c r="A99" s="40"/>
      <c r="B99" s="40"/>
      <c r="C99" s="40"/>
      <c r="D99" s="217"/>
      <c r="E99" s="217"/>
      <c r="F99" s="217"/>
      <c r="G99" s="217"/>
    </row>
    <row r="100" spans="1:8" ht="18" thickBot="1">
      <c r="A100" s="1656" t="str">
        <f>"Unge under 18 år, pr. arbejdstime (60 minutter) pr. "&amp;'Løntabel gældende fra'!D1&amp;""</f>
        <v>Unge under 18 år, pr. arbejdstime (60 minutter) pr. 01-11-2025</v>
      </c>
      <c r="B100" s="1657"/>
      <c r="C100" s="1657"/>
      <c r="D100" s="1657"/>
      <c r="E100" s="1657"/>
      <c r="F100" s="1658"/>
    </row>
    <row r="101" spans="1:8" ht="19.05" customHeight="1" thickBot="1">
      <c r="A101" s="547" t="s">
        <v>154</v>
      </c>
      <c r="B101" s="548" t="s">
        <v>72</v>
      </c>
      <c r="C101" s="548" t="s">
        <v>73</v>
      </c>
      <c r="D101" s="548" t="s">
        <v>74</v>
      </c>
      <c r="E101" s="548" t="s">
        <v>75</v>
      </c>
      <c r="F101" s="549" t="s">
        <v>76</v>
      </c>
    </row>
    <row r="102" spans="1:8" ht="15">
      <c r="A102" s="599" t="s">
        <v>155</v>
      </c>
      <c r="B102" s="550">
        <f>0.66*B10/160.33</f>
        <v>100.5882729370673</v>
      </c>
      <c r="C102" s="551">
        <f>0.66*C10/160.33</f>
        <v>102.72305370174014</v>
      </c>
      <c r="D102" s="551">
        <f>0.66*D10/160.33</f>
        <v>104.201210004366</v>
      </c>
      <c r="E102" s="551">
        <f>0.66*E10/160.33</f>
        <v>106.33562028316597</v>
      </c>
      <c r="F102" s="552">
        <f>0.66*F10/160.33</f>
        <v>107.81414707166468</v>
      </c>
    </row>
    <row r="103" spans="1:8" ht="15.6" thickBot="1">
      <c r="A103" s="543" t="s">
        <v>156</v>
      </c>
      <c r="B103" s="553">
        <f>0.74*B10/160.33</f>
        <v>112.78079086883304</v>
      </c>
      <c r="C103" s="554">
        <f>0.74*C10/160.33</f>
        <v>115.17433293831472</v>
      </c>
      <c r="D103" s="554">
        <f>0.74*D10/160.33</f>
        <v>116.83165970186489</v>
      </c>
      <c r="E103" s="554">
        <f>0.74*E10/160.33</f>
        <v>119.22478637809517</v>
      </c>
      <c r="F103" s="555">
        <f>0.74*F10/160.33</f>
        <v>120.88252853489676</v>
      </c>
    </row>
    <row r="104" spans="1:8" ht="14.4" thickBot="1">
      <c r="A104" s="225"/>
      <c r="B104" s="226"/>
      <c r="C104" s="226"/>
      <c r="D104" s="226"/>
      <c r="E104" s="226"/>
      <c r="F104" s="226"/>
    </row>
    <row r="105" spans="1:8" ht="16.5" customHeight="1" thickBot="1">
      <c r="A105" s="1721" t="s">
        <v>157</v>
      </c>
      <c r="B105" s="1722"/>
      <c r="C105" s="1722"/>
      <c r="D105" s="1722"/>
      <c r="E105" s="1722"/>
      <c r="F105" s="1722"/>
      <c r="G105" s="1723"/>
    </row>
    <row r="106" spans="1:8" ht="18.75" customHeight="1">
      <c r="A106" s="1672" t="s">
        <v>158</v>
      </c>
      <c r="B106" s="1673"/>
      <c r="C106" s="1674"/>
      <c r="D106" s="1654" t="s">
        <v>98</v>
      </c>
      <c r="E106" s="1655"/>
      <c r="F106" s="1654" t="s">
        <v>253</v>
      </c>
      <c r="G106" s="1655"/>
    </row>
    <row r="107" spans="1:8" ht="16.2" thickBot="1">
      <c r="A107" s="1675"/>
      <c r="B107" s="1676"/>
      <c r="C107" s="1677"/>
      <c r="D107" s="1652">
        <v>40999</v>
      </c>
      <c r="E107" s="1668"/>
      <c r="F107" s="1652" t="str">
        <f>'Løntabel gældende fra'!$D$1</f>
        <v>01-11-2025</v>
      </c>
      <c r="G107" s="1653"/>
    </row>
    <row r="108" spans="1:8" ht="15">
      <c r="A108" s="1669" t="s">
        <v>534</v>
      </c>
      <c r="B108" s="1670"/>
      <c r="C108" s="1671"/>
      <c r="D108" s="1716">
        <v>11049</v>
      </c>
      <c r="E108" s="1660"/>
      <c r="F108" s="1659">
        <f>ROUND(+D108*(1+'Løntabel gældende fra'!$D$7/100),2)</f>
        <v>13801.59</v>
      </c>
      <c r="G108" s="1660">
        <f>+E108*(1+'Løntabel gældende fra'!$D$7/100)</f>
        <v>0</v>
      </c>
    </row>
    <row r="109" spans="1:8" ht="15.6" thickBot="1">
      <c r="A109" s="1663" t="s">
        <v>533</v>
      </c>
      <c r="B109" s="1664"/>
      <c r="C109" s="1665"/>
      <c r="D109" s="1666">
        <v>11384</v>
      </c>
      <c r="E109" s="1667"/>
      <c r="F109" s="1650">
        <f>ROUND(+D109*(1+'Løntabel gældende fra'!$D$7/100),2)</f>
        <v>14220.05</v>
      </c>
      <c r="G109" s="1651">
        <f>+E109*(1+'Løntabel gældende fra'!$D$7/100)</f>
        <v>0</v>
      </c>
    </row>
    <row r="110" spans="1:8" ht="15.6">
      <c r="A110" s="556"/>
      <c r="B110" s="557"/>
      <c r="C110" s="557"/>
      <c r="D110" s="557"/>
      <c r="E110" s="557"/>
      <c r="F110" s="557"/>
      <c r="G110" s="558"/>
      <c r="H110" s="223"/>
    </row>
    <row r="111" spans="1:8">
      <c r="F111" s="223"/>
    </row>
    <row r="112" spans="1:8">
      <c r="A112" s="232"/>
      <c r="B112" s="232"/>
      <c r="C112" s="232"/>
      <c r="H112" s="224"/>
    </row>
    <row r="113" spans="1:7">
      <c r="A113" s="224"/>
      <c r="B113" s="224"/>
      <c r="C113" s="224"/>
      <c r="D113" s="224"/>
      <c r="E113" s="224"/>
      <c r="F113" s="224"/>
      <c r="G113" s="224"/>
    </row>
  </sheetData>
  <mergeCells count="113">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77734375" defaultRowHeight="13.2"/>
  <cols>
    <col min="1" max="1" width="9" style="206" customWidth="1"/>
    <col min="2" max="3" width="11.109375" style="206" customWidth="1"/>
    <col min="4" max="4" width="11.33203125" style="206" customWidth="1"/>
    <col min="5" max="6" width="10.6640625" style="206" customWidth="1"/>
    <col min="7" max="7" width="10.109375" style="206" customWidth="1"/>
    <col min="8" max="8" width="10.77734375" style="206" customWidth="1"/>
    <col min="9" max="9" width="11.109375" style="206" customWidth="1"/>
    <col min="10" max="10" width="9.109375" style="206" customWidth="1"/>
    <col min="11" max="16384" width="8.77734375" style="206"/>
  </cols>
  <sheetData>
    <row r="1" spans="1:16" ht="21">
      <c r="A1" s="1208" t="s">
        <v>19</v>
      </c>
      <c r="B1" s="1209"/>
      <c r="C1" s="1209"/>
      <c r="D1" s="1209"/>
      <c r="E1" s="1209"/>
      <c r="F1" s="1209"/>
      <c r="G1" s="1209"/>
      <c r="H1" s="1209"/>
      <c r="I1" s="1209"/>
      <c r="J1" s="1210"/>
    </row>
    <row r="2" spans="1:16" ht="21">
      <c r="A2" s="1762" t="s">
        <v>186</v>
      </c>
      <c r="B2" s="1763"/>
      <c r="C2" s="1763"/>
      <c r="D2" s="1763"/>
      <c r="E2" s="1763"/>
      <c r="F2" s="1763"/>
      <c r="G2" s="1763"/>
      <c r="H2" s="1763"/>
      <c r="I2" s="1763"/>
      <c r="J2" s="1764"/>
    </row>
    <row r="3" spans="1:16" ht="21.6" thickBot="1">
      <c r="A3" s="1705" t="s">
        <v>200</v>
      </c>
      <c r="B3" s="1706"/>
      <c r="C3" s="1706"/>
      <c r="D3" s="1706"/>
      <c r="E3" s="1706"/>
      <c r="F3" s="1706"/>
      <c r="G3" s="1706"/>
      <c r="H3" s="1706"/>
      <c r="I3" s="1706"/>
      <c r="J3" s="1707"/>
    </row>
    <row r="4" spans="1:16" ht="22.8">
      <c r="A4" s="1768"/>
      <c r="B4" s="1769"/>
      <c r="C4" s="1769"/>
      <c r="D4" s="1769"/>
      <c r="E4" s="1769"/>
      <c r="F4" s="1769"/>
      <c r="G4" s="1769"/>
      <c r="H4" s="1769"/>
      <c r="I4" s="1769"/>
      <c r="J4" s="222"/>
    </row>
    <row r="5" spans="1:16" ht="47.25" customHeight="1">
      <c r="A5" s="988" t="s">
        <v>217</v>
      </c>
      <c r="B5" s="989"/>
      <c r="C5" s="989"/>
      <c r="D5" s="989"/>
      <c r="E5" s="989"/>
      <c r="F5" s="989"/>
      <c r="G5" s="989"/>
      <c r="H5" s="989"/>
      <c r="I5" s="989"/>
      <c r="J5" s="222"/>
    </row>
    <row r="6" spans="1:16" ht="7.95" customHeight="1">
      <c r="A6" s="246"/>
      <c r="B6" s="246"/>
      <c r="C6" s="246"/>
      <c r="D6" s="246"/>
      <c r="E6" s="246"/>
      <c r="F6" s="246"/>
      <c r="G6" s="246"/>
      <c r="H6" s="246"/>
      <c r="I6" s="246"/>
      <c r="J6" s="222"/>
      <c r="L6" s="233"/>
      <c r="M6" s="232"/>
      <c r="N6" s="232"/>
      <c r="O6" s="232"/>
      <c r="P6" s="232"/>
    </row>
    <row r="7" spans="1:16" ht="18" customHeight="1" thickBot="1">
      <c r="A7" s="246"/>
      <c r="B7" s="246"/>
      <c r="C7" s="246"/>
      <c r="D7" s="246"/>
      <c r="E7" s="246"/>
      <c r="F7" s="246"/>
      <c r="G7" s="246"/>
      <c r="H7" s="246"/>
      <c r="I7" s="246"/>
      <c r="J7" s="222"/>
      <c r="L7" s="233"/>
      <c r="M7" s="232"/>
      <c r="N7" s="232"/>
      <c r="O7" s="232"/>
      <c r="P7" s="232"/>
    </row>
    <row r="8" spans="1:16" ht="18" thickBot="1">
      <c r="A8" s="1765" t="s">
        <v>15</v>
      </c>
      <c r="B8" s="1766"/>
      <c r="C8" s="1766"/>
      <c r="D8" s="1766"/>
      <c r="E8" s="1766"/>
      <c r="F8" s="1767"/>
      <c r="G8" s="1656" t="s">
        <v>165</v>
      </c>
      <c r="H8" s="1657"/>
      <c r="I8" s="1657"/>
      <c r="J8" s="1658"/>
      <c r="L8" s="233"/>
      <c r="M8" s="232"/>
      <c r="N8" s="232"/>
      <c r="O8" s="232"/>
      <c r="P8" s="232"/>
    </row>
    <row r="9" spans="1:16" ht="39.6">
      <c r="A9" s="430" t="s">
        <v>57</v>
      </c>
      <c r="B9" s="430" t="s">
        <v>72</v>
      </c>
      <c r="C9" s="433" t="s">
        <v>73</v>
      </c>
      <c r="D9" s="430" t="s">
        <v>74</v>
      </c>
      <c r="E9" s="430" t="s">
        <v>75</v>
      </c>
      <c r="F9" s="430" t="s">
        <v>76</v>
      </c>
      <c r="G9" s="434" t="s">
        <v>182</v>
      </c>
      <c r="H9" s="435" t="s">
        <v>183</v>
      </c>
      <c r="I9" s="435" t="s">
        <v>184</v>
      </c>
      <c r="J9" s="436">
        <v>0.14000000000000001</v>
      </c>
    </row>
    <row r="10" spans="1:16" ht="15" customHeight="1">
      <c r="A10" s="347" t="s">
        <v>205</v>
      </c>
      <c r="B10" s="272">
        <f>+'Statens skalatrin'!D46+F24/12</f>
        <v>23896.63163183333</v>
      </c>
      <c r="C10" s="273">
        <f>+'Statens skalatrin'!F46+F24/12</f>
        <v>24390.041631833334</v>
      </c>
      <c r="D10" s="274">
        <f>+'Statens skalatrin'!H46+F24/12</f>
        <v>24731.541631833334</v>
      </c>
      <c r="E10" s="272">
        <f>+'Statens skalatrin'!J46+F24/12</f>
        <v>25224.88163183333</v>
      </c>
      <c r="F10" s="272">
        <f>+'Statens skalatrin'!L46+F24/12</f>
        <v>25566.38163183333</v>
      </c>
      <c r="G10" s="275">
        <f>+'Statens skalatrin'!O46+F24/12</f>
        <v>22355.841631833333</v>
      </c>
      <c r="H10" s="276">
        <f>J10*1/3</f>
        <v>1043.2726094855557</v>
      </c>
      <c r="I10" s="277">
        <f>J10*2/3</f>
        <v>2086.5452189711114</v>
      </c>
      <c r="J10" s="277">
        <f>G10*$J$9</f>
        <v>3129.817828456667</v>
      </c>
    </row>
    <row r="11" spans="1:16" ht="15" customHeight="1">
      <c r="A11" s="284">
        <v>17</v>
      </c>
      <c r="B11" s="272">
        <f>+'Statens skalatrin'!D55</f>
        <v>24878.92</v>
      </c>
      <c r="C11" s="273">
        <f>+'Statens skalatrin'!F55</f>
        <v>25410.75</v>
      </c>
      <c r="D11" s="274">
        <f>+'Statens skalatrin'!H55</f>
        <v>25778.92</v>
      </c>
      <c r="E11" s="272">
        <f>'Statens skalatrin'!J55</f>
        <v>26310.67</v>
      </c>
      <c r="F11" s="272">
        <f>+'Statens skalatrin'!L55</f>
        <v>26678.58</v>
      </c>
      <c r="G11" s="275">
        <f>+'Statens skalatrin'!O55</f>
        <v>23366.37</v>
      </c>
      <c r="H11" s="276">
        <f>J11*1/3</f>
        <v>1090.4305999999999</v>
      </c>
      <c r="I11" s="277">
        <f>J11*2/3</f>
        <v>2180.8611999999998</v>
      </c>
      <c r="J11" s="277">
        <f>G11*$J$9</f>
        <v>3271.2918</v>
      </c>
    </row>
    <row r="12" spans="1:16" ht="16.95" customHeight="1" thickBot="1">
      <c r="A12" s="285" t="s">
        <v>166</v>
      </c>
      <c r="B12" s="278">
        <f>+'Statens skalatrin'!D64+F25/12</f>
        <v>26086.667983666666</v>
      </c>
      <c r="C12" s="279">
        <f>+'Statens skalatrin'!F64+F25/12</f>
        <v>26659.917983666666</v>
      </c>
      <c r="D12" s="280">
        <f>+'Statens skalatrin'!H64+F25/12</f>
        <v>27056.917983666666</v>
      </c>
      <c r="E12" s="278">
        <f>+'Statens skalatrin'!J64+F25/12</f>
        <v>27630.247983666668</v>
      </c>
      <c r="F12" s="278">
        <f>+'Statens skalatrin'!L64+F25/12</f>
        <v>28027.087983666665</v>
      </c>
      <c r="G12" s="281">
        <f>+'Statens skalatrin'!O64+F25/12</f>
        <v>24741.397983666666</v>
      </c>
      <c r="H12" s="282">
        <f>J12*1/3</f>
        <v>1154.5985725711112</v>
      </c>
      <c r="I12" s="283">
        <f>J12*2/3</f>
        <v>2309.1971451422223</v>
      </c>
      <c r="J12" s="283">
        <f>G12*$J$9</f>
        <v>3463.7957177133335</v>
      </c>
    </row>
    <row r="13" spans="1:16" ht="16.95" customHeight="1">
      <c r="A13" s="232" t="s">
        <v>218</v>
      </c>
      <c r="B13" s="226"/>
      <c r="C13" s="226"/>
      <c r="D13" s="226"/>
      <c r="E13" s="226"/>
      <c r="F13" s="226"/>
      <c r="G13" s="249"/>
      <c r="H13" s="250"/>
      <c r="I13" s="251"/>
      <c r="J13" s="251"/>
    </row>
    <row r="14" spans="1:16" ht="16.05" customHeight="1" thickBot="1">
      <c r="A14" s="246"/>
      <c r="B14" s="246"/>
      <c r="C14" s="246"/>
      <c r="D14" s="246"/>
      <c r="E14" s="246"/>
      <c r="F14" s="246"/>
      <c r="G14" s="246"/>
      <c r="H14" s="246"/>
      <c r="I14" s="246"/>
      <c r="J14" s="222"/>
      <c r="L14" s="248"/>
    </row>
    <row r="15" spans="1:16" ht="16.05" customHeight="1" thickBot="1">
      <c r="A15" s="1656" t="s">
        <v>167</v>
      </c>
      <c r="B15" s="1657"/>
      <c r="C15" s="1657"/>
      <c r="D15" s="1657"/>
      <c r="E15" s="1657"/>
      <c r="F15" s="1658"/>
      <c r="G15" s="232"/>
      <c r="H15" s="232"/>
      <c r="I15" s="232"/>
      <c r="J15" s="222"/>
      <c r="L15" s="248"/>
    </row>
    <row r="16" spans="1:16" ht="16.05" customHeight="1" thickBot="1">
      <c r="A16" s="236" t="s">
        <v>168</v>
      </c>
      <c r="B16" s="237"/>
      <c r="C16" s="237"/>
      <c r="D16" s="237"/>
      <c r="E16" s="237"/>
      <c r="F16" s="238"/>
      <c r="G16" s="232"/>
      <c r="H16" s="232"/>
      <c r="I16" s="232"/>
      <c r="J16" s="222"/>
      <c r="L16" s="248"/>
    </row>
    <row r="17" spans="1:10" ht="16.05" customHeight="1">
      <c r="A17" s="430" t="s">
        <v>57</v>
      </c>
      <c r="B17" s="431" t="s">
        <v>72</v>
      </c>
      <c r="C17" s="430" t="s">
        <v>73</v>
      </c>
      <c r="D17" s="431" t="s">
        <v>74</v>
      </c>
      <c r="E17" s="430" t="s">
        <v>75</v>
      </c>
      <c r="F17" s="432" t="s">
        <v>76</v>
      </c>
      <c r="G17" s="232"/>
      <c r="H17" s="232"/>
      <c r="I17" s="232"/>
      <c r="J17" s="222"/>
    </row>
    <row r="18" spans="1:10" ht="16.05" customHeight="1" thickBot="1">
      <c r="A18" s="289">
        <v>14</v>
      </c>
      <c r="B18" s="286">
        <f>B10*12/1924</f>
        <v>149.04344053118501</v>
      </c>
      <c r="C18" s="287">
        <f>C10*12/1924</f>
        <v>152.12084177858628</v>
      </c>
      <c r="D18" s="286">
        <f>D10*12/1924</f>
        <v>154.25077940852393</v>
      </c>
      <c r="E18" s="287">
        <f>E10*12/1924</f>
        <v>157.32774406548856</v>
      </c>
      <c r="F18" s="288">
        <f>F10*12/1924</f>
        <v>159.45768169542617</v>
      </c>
      <c r="G18" s="232"/>
      <c r="H18" s="231"/>
      <c r="I18" s="231"/>
      <c r="J18" s="222"/>
    </row>
    <row r="19" spans="1:10" ht="15" customHeight="1">
      <c r="A19" s="241"/>
      <c r="B19" s="240"/>
      <c r="C19" s="240"/>
      <c r="D19" s="240"/>
      <c r="E19" s="240"/>
      <c r="F19" s="240"/>
      <c r="G19" s="232"/>
      <c r="H19" s="231"/>
      <c r="I19" s="231"/>
      <c r="J19" s="222"/>
    </row>
    <row r="20" spans="1:10" ht="13.05" customHeight="1" thickBot="1">
      <c r="A20" s="241"/>
      <c r="B20" s="240"/>
      <c r="C20" s="240"/>
      <c r="D20" s="240"/>
      <c r="E20" s="240"/>
      <c r="F20" s="240"/>
      <c r="G20" s="232"/>
      <c r="H20" s="231"/>
      <c r="I20" s="231"/>
      <c r="J20" s="222"/>
    </row>
    <row r="21" spans="1:10" ht="15" customHeight="1" thickBot="1">
      <c r="A21" s="1099" t="s">
        <v>160</v>
      </c>
      <c r="B21" s="1100"/>
      <c r="C21" s="1100"/>
      <c r="D21" s="1100"/>
      <c r="E21" s="1100"/>
      <c r="F21" s="1101"/>
      <c r="G21" s="200"/>
      <c r="H21" s="200"/>
      <c r="I21" s="200"/>
      <c r="J21" s="222"/>
    </row>
    <row r="22" spans="1:10" ht="15" customHeight="1">
      <c r="A22" s="1739" t="s">
        <v>179</v>
      </c>
      <c r="B22" s="1740"/>
      <c r="C22" s="1740"/>
      <c r="D22" s="1740"/>
      <c r="E22" s="424" t="s">
        <v>95</v>
      </c>
      <c r="F22" s="428" t="s">
        <v>100</v>
      </c>
      <c r="G22" s="243"/>
      <c r="H22" s="232"/>
      <c r="I22" s="232"/>
      <c r="J22" s="222"/>
    </row>
    <row r="23" spans="1:10" ht="15" customHeight="1" thickBot="1">
      <c r="A23" s="1742"/>
      <c r="B23" s="1743"/>
      <c r="C23" s="1743"/>
      <c r="D23" s="1743"/>
      <c r="E23" s="426">
        <v>40999</v>
      </c>
      <c r="F23" s="429" t="str">
        <f>'Løntabel gældende fra'!$D$1</f>
        <v>01-11-2025</v>
      </c>
      <c r="G23" s="243"/>
      <c r="H23" s="232"/>
      <c r="I23" s="232"/>
      <c r="J23" s="222"/>
    </row>
    <row r="24" spans="1:10" ht="15" customHeight="1" thickBot="1">
      <c r="A24" s="1772" t="s">
        <v>204</v>
      </c>
      <c r="B24" s="1773"/>
      <c r="C24" s="1773"/>
      <c r="D24" s="404"/>
      <c r="E24" s="298">
        <v>1957</v>
      </c>
      <c r="F24" s="290">
        <f>E24+E24*'Løntabel gældende fra'!$D$7%</f>
        <v>2444.5395819999999</v>
      </c>
      <c r="G24" s="243"/>
      <c r="H24" s="232"/>
      <c r="I24" s="232"/>
      <c r="J24" s="222"/>
    </row>
    <row r="25" spans="1:10" ht="15" customHeight="1" thickBot="1">
      <c r="A25" s="1770" t="s">
        <v>180</v>
      </c>
      <c r="B25" s="1771"/>
      <c r="C25" s="1771"/>
      <c r="D25" s="405"/>
      <c r="E25" s="298">
        <v>554</v>
      </c>
      <c r="F25" s="290">
        <f>E25+E25*'Løntabel gældende fra'!$D$7%</f>
        <v>692.015804</v>
      </c>
      <c r="G25" s="243"/>
      <c r="H25" s="232"/>
      <c r="I25" s="232"/>
      <c r="J25" s="222"/>
    </row>
    <row r="26" spans="1:10" ht="15" customHeight="1">
      <c r="A26" s="242"/>
      <c r="B26" s="240"/>
      <c r="C26" s="240"/>
      <c r="D26" s="240"/>
      <c r="E26" s="240"/>
      <c r="F26" s="240"/>
      <c r="G26" s="232"/>
      <c r="H26" s="232"/>
      <c r="I26" s="232"/>
      <c r="J26" s="222"/>
    </row>
    <row r="27" spans="1:10" ht="15" customHeight="1" thickBot="1">
      <c r="A27" s="242"/>
      <c r="B27" s="240"/>
      <c r="C27" s="240"/>
      <c r="D27" s="240"/>
      <c r="E27" s="240"/>
      <c r="F27" s="240"/>
      <c r="G27" s="232"/>
      <c r="H27" s="232"/>
      <c r="I27" s="232"/>
      <c r="J27" s="222"/>
    </row>
    <row r="28" spans="1:10" ht="15" customHeight="1" thickBot="1">
      <c r="A28" s="1099" t="s">
        <v>169</v>
      </c>
      <c r="B28" s="1100"/>
      <c r="C28" s="1100"/>
      <c r="D28" s="1100"/>
      <c r="E28" s="1100"/>
      <c r="F28" s="1100"/>
      <c r="G28" s="1100"/>
      <c r="H28" s="1100"/>
      <c r="I28" s="1101"/>
      <c r="J28" s="222"/>
    </row>
    <row r="29" spans="1:10" ht="15" customHeight="1" thickBot="1">
      <c r="A29" s="1747"/>
      <c r="B29" s="1748"/>
      <c r="C29" s="1748"/>
      <c r="D29" s="1748"/>
      <c r="E29" s="1748"/>
      <c r="F29" s="1748"/>
      <c r="G29" s="1748"/>
      <c r="H29" s="424" t="s">
        <v>95</v>
      </c>
      <c r="I29" s="425" t="s">
        <v>100</v>
      </c>
      <c r="J29" s="222"/>
    </row>
    <row r="30" spans="1:10" ht="15" customHeight="1" thickBot="1">
      <c r="A30" s="1749"/>
      <c r="B30" s="1750"/>
      <c r="C30" s="1750"/>
      <c r="D30" s="1750"/>
      <c r="E30" s="1750"/>
      <c r="F30" s="1750"/>
      <c r="G30" s="1751"/>
      <c r="H30" s="426">
        <v>40999</v>
      </c>
      <c r="I30" s="427" t="str">
        <f>'Løntabel gældende fra'!$D$1</f>
        <v>01-11-2025</v>
      </c>
      <c r="J30" s="222"/>
    </row>
    <row r="31" spans="1:10" ht="15" customHeight="1">
      <c r="A31" s="1752" t="s">
        <v>170</v>
      </c>
      <c r="B31" s="1753"/>
      <c r="C31" s="1753"/>
      <c r="D31" s="1753"/>
      <c r="E31" s="1753"/>
      <c r="F31" s="227"/>
      <c r="G31" s="229" t="s">
        <v>162</v>
      </c>
      <c r="H31" s="291">
        <v>22.32</v>
      </c>
      <c r="I31" s="292">
        <f>H31+H31*'Løntabel gældende fra'!$D$7%</f>
        <v>27.880492320000002</v>
      </c>
      <c r="J31" s="222"/>
    </row>
    <row r="32" spans="1:10" ht="15" customHeight="1">
      <c r="A32" s="1760" t="s">
        <v>171</v>
      </c>
      <c r="B32" s="1761"/>
      <c r="C32" s="1761"/>
      <c r="D32" s="1761"/>
      <c r="E32" s="1761"/>
      <c r="F32" s="247"/>
      <c r="G32" s="230" t="s">
        <v>162</v>
      </c>
      <c r="H32" s="293">
        <v>39.921999999999997</v>
      </c>
      <c r="I32" s="294">
        <f>H32+H32*'Løntabel gældende fra'!$D$7%</f>
        <v>49.867608171999997</v>
      </c>
      <c r="J32" s="222"/>
    </row>
    <row r="33" spans="1:10" ht="25.95" customHeight="1">
      <c r="A33" s="1752" t="s">
        <v>172</v>
      </c>
      <c r="B33" s="1753"/>
      <c r="C33" s="1753"/>
      <c r="D33" s="1753"/>
      <c r="E33" s="1753"/>
      <c r="F33" s="1753"/>
      <c r="G33" s="230" t="s">
        <v>162</v>
      </c>
      <c r="H33" s="293">
        <v>39.92</v>
      </c>
      <c r="I33" s="294">
        <f>H33+H33*'Løntabel gældende fra'!$D$7%</f>
        <v>49.865109920000002</v>
      </c>
      <c r="J33" s="222"/>
    </row>
    <row r="34" spans="1:10" ht="15" customHeight="1" thickBot="1">
      <c r="A34" s="260" t="s">
        <v>161</v>
      </c>
      <c r="B34" s="259"/>
      <c r="C34" s="259"/>
      <c r="D34" s="259"/>
      <c r="E34" s="244"/>
      <c r="F34" s="244"/>
      <c r="G34" s="254" t="s">
        <v>162</v>
      </c>
      <c r="H34" s="295">
        <v>39.921999999999997</v>
      </c>
      <c r="I34" s="296">
        <f>H34+H34*'Løntabel gældende fra'!$D$7%</f>
        <v>49.867608171999997</v>
      </c>
      <c r="J34" s="222"/>
    </row>
    <row r="35" spans="1:10" ht="15" customHeight="1">
      <c r="A35" s="253"/>
      <c r="B35" s="253"/>
      <c r="C35" s="253"/>
      <c r="D35" s="253"/>
      <c r="E35" s="253"/>
      <c r="F35" s="253"/>
      <c r="G35" s="253"/>
      <c r="H35" s="217"/>
      <c r="I35" s="252"/>
      <c r="J35" s="222"/>
    </row>
    <row r="36" spans="1:10" ht="15" customHeight="1" thickBot="1">
      <c r="A36" s="253"/>
      <c r="B36" s="253"/>
      <c r="C36" s="253"/>
      <c r="D36" s="253"/>
      <c r="E36" s="253"/>
      <c r="F36" s="253"/>
      <c r="G36" s="253"/>
      <c r="H36" s="217"/>
      <c r="I36" s="252"/>
      <c r="J36" s="222"/>
    </row>
    <row r="37" spans="1:10" ht="15" customHeight="1" thickBot="1">
      <c r="A37" s="1099" t="s">
        <v>173</v>
      </c>
      <c r="B37" s="1100"/>
      <c r="C37" s="1100"/>
      <c r="D37" s="1100"/>
      <c r="E37" s="1100"/>
      <c r="F37" s="1100"/>
      <c r="G37" s="1100"/>
      <c r="H37" s="1100"/>
      <c r="I37" s="1101"/>
      <c r="J37" s="232"/>
    </row>
    <row r="38" spans="1:10" ht="15" customHeight="1" thickBot="1">
      <c r="A38" s="1747"/>
      <c r="B38" s="1748"/>
      <c r="C38" s="1748"/>
      <c r="D38" s="1748"/>
      <c r="E38" s="1748"/>
      <c r="F38" s="1748"/>
      <c r="G38" s="1748"/>
      <c r="H38" s="424" t="s">
        <v>95</v>
      </c>
      <c r="I38" s="425" t="s">
        <v>100</v>
      </c>
      <c r="J38" s="232"/>
    </row>
    <row r="39" spans="1:10" ht="15" customHeight="1" thickBot="1">
      <c r="A39" s="1749"/>
      <c r="B39" s="1750"/>
      <c r="C39" s="1750"/>
      <c r="D39" s="1750"/>
      <c r="E39" s="1750"/>
      <c r="F39" s="1750"/>
      <c r="G39" s="1751"/>
      <c r="H39" s="426">
        <v>40999</v>
      </c>
      <c r="I39" s="427" t="str">
        <f>'Løntabel gældende fra'!$D$1</f>
        <v>01-11-2025</v>
      </c>
      <c r="J39" s="232"/>
    </row>
    <row r="40" spans="1:10" ht="15" customHeight="1" thickBot="1">
      <c r="A40" s="1745" t="s">
        <v>174</v>
      </c>
      <c r="B40" s="1746"/>
      <c r="C40" s="1746"/>
      <c r="D40" s="1746"/>
      <c r="E40" s="1746"/>
      <c r="F40" s="228"/>
      <c r="G40" s="239" t="s">
        <v>162</v>
      </c>
      <c r="H40" s="297">
        <v>6.88</v>
      </c>
      <c r="I40" s="290">
        <f>H40+H40*'Løntabel gældende fra'!$D$7%</f>
        <v>8.5939868799999992</v>
      </c>
      <c r="J40" s="232"/>
    </row>
    <row r="41" spans="1:10" ht="15" customHeight="1">
      <c r="A41" s="222"/>
      <c r="B41" s="222"/>
      <c r="C41" s="222"/>
      <c r="D41" s="222"/>
      <c r="E41" s="222"/>
      <c r="F41" s="223"/>
      <c r="G41" s="222"/>
      <c r="H41" s="223"/>
      <c r="I41" s="222"/>
      <c r="J41" s="232"/>
    </row>
    <row r="42" spans="1:10" ht="15" customHeight="1" thickBot="1">
      <c r="A42" s="222"/>
      <c r="B42" s="222"/>
      <c r="C42" s="222"/>
      <c r="D42" s="222"/>
      <c r="E42" s="222"/>
      <c r="F42" s="223"/>
      <c r="G42" s="222"/>
      <c r="H42" s="223"/>
      <c r="I42" s="222"/>
      <c r="J42" s="232"/>
    </row>
    <row r="43" spans="1:10" ht="15" customHeight="1" thickBot="1">
      <c r="A43" s="1099" t="s">
        <v>175</v>
      </c>
      <c r="B43" s="1100"/>
      <c r="C43" s="1100"/>
      <c r="D43" s="1100"/>
      <c r="E43" s="1100"/>
      <c r="F43" s="1100"/>
      <c r="G43" s="1100"/>
      <c r="H43" s="1100"/>
      <c r="I43" s="1101"/>
      <c r="J43" s="232"/>
    </row>
    <row r="44" spans="1:10" ht="15" customHeight="1">
      <c r="A44" s="1754"/>
      <c r="B44" s="1755"/>
      <c r="C44" s="1755"/>
      <c r="D44" s="1755"/>
      <c r="E44" s="1755"/>
      <c r="F44" s="1755"/>
      <c r="G44" s="1756"/>
      <c r="H44" s="424" t="s">
        <v>95</v>
      </c>
      <c r="I44" s="425" t="s">
        <v>100</v>
      </c>
      <c r="J44" s="232"/>
    </row>
    <row r="45" spans="1:10" ht="15" customHeight="1" thickBot="1">
      <c r="A45" s="1757"/>
      <c r="B45" s="1758"/>
      <c r="C45" s="1758"/>
      <c r="D45" s="1758"/>
      <c r="E45" s="1758"/>
      <c r="F45" s="1758"/>
      <c r="G45" s="1759"/>
      <c r="H45" s="426">
        <v>40999</v>
      </c>
      <c r="I45" s="427" t="str">
        <f>'Løntabel gældende fra'!$D$1</f>
        <v>01-11-2025</v>
      </c>
      <c r="J45" s="232"/>
    </row>
    <row r="46" spans="1:10" ht="15" customHeight="1" thickBot="1">
      <c r="A46" s="1745" t="s">
        <v>187</v>
      </c>
      <c r="B46" s="1746"/>
      <c r="C46" s="1746"/>
      <c r="D46" s="1746"/>
      <c r="E46" s="1746"/>
      <c r="F46" s="228"/>
      <c r="G46" s="239"/>
      <c r="H46" s="297">
        <v>655</v>
      </c>
      <c r="I46" s="290">
        <f>H46+H46*'Løntabel gældende fra'!$D$7%</f>
        <v>818.17753000000005</v>
      </c>
      <c r="J46" s="232"/>
    </row>
    <row r="47" spans="1:10" ht="15" customHeight="1">
      <c r="A47" s="222"/>
      <c r="B47" s="222"/>
      <c r="C47" s="222"/>
      <c r="D47" s="222"/>
      <c r="E47" s="222"/>
      <c r="F47" s="223"/>
      <c r="G47" s="222"/>
      <c r="H47" s="223"/>
      <c r="I47" s="222"/>
      <c r="J47" s="232"/>
    </row>
    <row r="48" spans="1:10" ht="15" customHeight="1" thickBot="1">
      <c r="A48" s="222"/>
      <c r="B48" s="222"/>
      <c r="C48" s="222"/>
      <c r="D48" s="222"/>
      <c r="E48" s="222"/>
      <c r="F48" s="223"/>
      <c r="G48" s="222"/>
      <c r="H48" s="223"/>
      <c r="I48" s="222"/>
      <c r="J48" s="232"/>
    </row>
    <row r="49" spans="1:10" ht="15" customHeight="1" thickBot="1">
      <c r="A49" s="1099" t="s">
        <v>176</v>
      </c>
      <c r="B49" s="1100"/>
      <c r="C49" s="1100"/>
      <c r="D49" s="1100"/>
      <c r="E49" s="1100"/>
      <c r="F49" s="1100"/>
      <c r="G49" s="1100"/>
      <c r="H49" s="1100"/>
      <c r="I49" s="1101"/>
      <c r="J49" s="232"/>
    </row>
    <row r="50" spans="1:10" ht="15" customHeight="1">
      <c r="A50" s="1739" t="s">
        <v>178</v>
      </c>
      <c r="B50" s="1740"/>
      <c r="C50" s="1740"/>
      <c r="D50" s="1740"/>
      <c r="E50" s="1740"/>
      <c r="F50" s="1740"/>
      <c r="G50" s="1741"/>
      <c r="H50" s="424" t="s">
        <v>95</v>
      </c>
      <c r="I50" s="425" t="s">
        <v>100</v>
      </c>
      <c r="J50" s="232"/>
    </row>
    <row r="51" spans="1:10" ht="15" customHeight="1" thickBot="1">
      <c r="A51" s="1742"/>
      <c r="B51" s="1743"/>
      <c r="C51" s="1743"/>
      <c r="D51" s="1743"/>
      <c r="E51" s="1743"/>
      <c r="F51" s="1743"/>
      <c r="G51" s="1744"/>
      <c r="H51" s="426">
        <v>40999</v>
      </c>
      <c r="I51" s="427" t="str">
        <f>'Løntabel gældende fra'!$D$1</f>
        <v>01-11-2025</v>
      </c>
      <c r="J51" s="232"/>
    </row>
    <row r="52" spans="1:10" ht="15" customHeight="1" thickBot="1">
      <c r="A52" s="1745" t="s">
        <v>177</v>
      </c>
      <c r="B52" s="1746"/>
      <c r="C52" s="1746"/>
      <c r="D52" s="1746"/>
      <c r="E52" s="1746"/>
      <c r="F52" s="228"/>
      <c r="G52" s="239"/>
      <c r="H52" s="297">
        <v>0</v>
      </c>
      <c r="I52" s="290">
        <f>H52+H52*'Løntabel gældende fra'!$D$7%</f>
        <v>0</v>
      </c>
      <c r="J52" s="232"/>
    </row>
    <row r="53" spans="1:10" ht="15" customHeight="1">
      <c r="A53" s="222"/>
      <c r="B53" s="222"/>
      <c r="C53" s="222"/>
      <c r="D53" s="222"/>
      <c r="E53" s="222"/>
      <c r="F53" s="223"/>
      <c r="G53" s="222"/>
      <c r="H53" s="223"/>
      <c r="I53" s="222"/>
      <c r="J53" s="232"/>
    </row>
    <row r="54" spans="1:10" ht="15" customHeight="1" thickBot="1">
      <c r="A54" s="222"/>
      <c r="B54" s="222"/>
      <c r="C54" s="222"/>
      <c r="D54" s="222"/>
      <c r="E54" s="222"/>
      <c r="F54" s="223"/>
      <c r="G54" s="222"/>
      <c r="H54" s="223"/>
      <c r="I54" s="222"/>
      <c r="J54" s="232"/>
    </row>
    <row r="55" spans="1:10" s="232" customFormat="1" ht="18" thickBot="1">
      <c r="A55" s="1099" t="s">
        <v>181</v>
      </c>
      <c r="B55" s="1100"/>
      <c r="C55" s="1100"/>
      <c r="D55" s="1100"/>
      <c r="E55" s="1100"/>
      <c r="F55" s="1100"/>
      <c r="G55" s="1100"/>
      <c r="H55" s="1100"/>
      <c r="I55" s="1101"/>
    </row>
    <row r="56" spans="1:10" s="232" customFormat="1" ht="13.8">
      <c r="A56" s="1739"/>
      <c r="B56" s="1740"/>
      <c r="C56" s="1740"/>
      <c r="D56" s="1740"/>
      <c r="E56" s="1740"/>
      <c r="F56" s="1740"/>
      <c r="G56" s="1741"/>
      <c r="H56" s="424" t="s">
        <v>95</v>
      </c>
      <c r="I56" s="425" t="s">
        <v>100</v>
      </c>
    </row>
    <row r="57" spans="1:10" s="232" customFormat="1" ht="14.4" thickBot="1">
      <c r="A57" s="1742"/>
      <c r="B57" s="1743"/>
      <c r="C57" s="1743"/>
      <c r="D57" s="1743"/>
      <c r="E57" s="1743"/>
      <c r="F57" s="1743"/>
      <c r="G57" s="1744"/>
      <c r="H57" s="426">
        <v>40999</v>
      </c>
      <c r="I57" s="427" t="str">
        <f>'Løntabel gældende fra'!$D$1</f>
        <v>01-11-2025</v>
      </c>
    </row>
    <row r="58" spans="1:10" s="232" customFormat="1" ht="14.4" thickBot="1">
      <c r="A58" s="1745" t="s">
        <v>181</v>
      </c>
      <c r="B58" s="1746"/>
      <c r="C58" s="1746"/>
      <c r="D58" s="1746"/>
      <c r="E58" s="1746"/>
      <c r="F58" s="228"/>
      <c r="G58" s="239"/>
      <c r="H58" s="297">
        <v>10500</v>
      </c>
      <c r="I58" s="298">
        <f>H58+H58*'Løntabel gældende fra'!$D$7%</f>
        <v>13115.823</v>
      </c>
    </row>
    <row r="59" spans="1:10" s="258" customFormat="1" ht="13.8">
      <c r="A59" s="255"/>
      <c r="B59" s="255"/>
      <c r="C59" s="255"/>
      <c r="D59" s="255"/>
      <c r="E59" s="255"/>
      <c r="F59" s="243"/>
      <c r="G59" s="243"/>
      <c r="H59" s="256"/>
      <c r="I59" s="257"/>
    </row>
  </sheetData>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77734375" defaultRowHeight="13.2"/>
  <cols>
    <col min="1" max="1" width="13.33203125" style="206" customWidth="1"/>
    <col min="2" max="2" width="15" style="206" customWidth="1"/>
    <col min="3" max="3" width="16.33203125" style="206" customWidth="1"/>
    <col min="4" max="4" width="16.109375" style="207" customWidth="1"/>
    <col min="5" max="5" width="17.33203125" style="206" customWidth="1"/>
    <col min="6" max="6" width="13.6640625" style="208" customWidth="1"/>
    <col min="7" max="7" width="0.33203125" style="208" customWidth="1"/>
    <col min="8" max="8" width="10.6640625" style="206" customWidth="1"/>
    <col min="9" max="16384" width="8.77734375" style="206"/>
  </cols>
  <sheetData>
    <row r="1" spans="1:9" s="2" customFormat="1" ht="22.05" customHeight="1">
      <c r="A1" s="1208" t="s">
        <v>19</v>
      </c>
      <c r="B1" s="1209"/>
      <c r="C1" s="1209"/>
      <c r="D1" s="1209"/>
      <c r="E1" s="1209"/>
      <c r="F1" s="1209"/>
      <c r="G1" s="1210"/>
      <c r="H1" s="387"/>
      <c r="I1" s="39"/>
    </row>
    <row r="2" spans="1:9" s="2" customFormat="1" ht="76.05" customHeight="1">
      <c r="A2" s="1762" t="s">
        <v>145</v>
      </c>
      <c r="B2" s="1763"/>
      <c r="C2" s="1763"/>
      <c r="D2" s="1763"/>
      <c r="E2" s="1763"/>
      <c r="F2" s="1763"/>
      <c r="G2" s="1764"/>
      <c r="H2" s="386"/>
    </row>
    <row r="3" spans="1:9" s="2" customFormat="1" ht="28.05" customHeight="1" thickBot="1">
      <c r="A3" s="1705" t="s">
        <v>200</v>
      </c>
      <c r="B3" s="1706"/>
      <c r="C3" s="1706"/>
      <c r="D3" s="1706"/>
      <c r="E3" s="1706"/>
      <c r="F3" s="1706"/>
      <c r="G3" s="1707"/>
      <c r="H3" s="387"/>
    </row>
    <row r="4" spans="1:9" ht="12" customHeight="1" thickBot="1">
      <c r="A4" s="1775"/>
      <c r="B4" s="1775"/>
      <c r="C4" s="1775"/>
      <c r="D4" s="1775"/>
      <c r="E4" s="1775"/>
      <c r="F4" s="1775"/>
      <c r="G4" s="1775"/>
    </row>
    <row r="5" spans="1:9" ht="18" thickBot="1">
      <c r="A5" s="446" t="s">
        <v>148</v>
      </c>
      <c r="B5" s="447"/>
      <c r="C5" s="447"/>
      <c r="D5" s="447"/>
      <c r="E5" s="447"/>
      <c r="F5" s="388"/>
      <c r="G5" s="448"/>
    </row>
    <row r="6" spans="1:9" ht="30" customHeight="1">
      <c r="A6" s="1102" t="s">
        <v>135</v>
      </c>
      <c r="B6" s="1102" t="s">
        <v>91</v>
      </c>
      <c r="C6" s="391" t="s">
        <v>97</v>
      </c>
      <c r="D6" s="392" t="s">
        <v>97</v>
      </c>
      <c r="E6" s="392" t="s">
        <v>98</v>
      </c>
      <c r="F6" s="311" t="s">
        <v>136</v>
      </c>
    </row>
    <row r="7" spans="1:9" ht="15" customHeight="1" thickBot="1">
      <c r="A7" s="1120"/>
      <c r="B7" s="1120"/>
      <c r="C7" s="333">
        <v>40999</v>
      </c>
      <c r="D7" s="309">
        <f>'Løntabel gældende fra'!C7</f>
        <v>45962</v>
      </c>
      <c r="E7" s="309">
        <f>'Løntabel gældende fra'!C7</f>
        <v>45962</v>
      </c>
      <c r="F7" s="384" t="s">
        <v>137</v>
      </c>
    </row>
    <row r="8" spans="1:9" ht="16.05" customHeight="1">
      <c r="A8" s="87">
        <v>1</v>
      </c>
      <c r="B8" s="87" t="s">
        <v>138</v>
      </c>
      <c r="C8" s="336">
        <f>12*22670</f>
        <v>272040</v>
      </c>
      <c r="D8" s="214">
        <f>C8+(C8*'Løntabel gældende fra'!$D$7%)</f>
        <v>339812.23704000004</v>
      </c>
      <c r="E8" s="348">
        <f>D8/12</f>
        <v>28317.686420000002</v>
      </c>
      <c r="F8" s="438">
        <f>(E8*12)/1672*1</f>
        <v>203.2369838755981</v>
      </c>
    </row>
    <row r="9" spans="1:9" ht="16.05" customHeight="1">
      <c r="A9" s="88">
        <v>2</v>
      </c>
      <c r="B9" s="88" t="s">
        <v>146</v>
      </c>
      <c r="C9" s="339">
        <f>25300*12</f>
        <v>303600</v>
      </c>
      <c r="D9" s="175">
        <f>C9+(C9*'Løntabel gældende fra'!$D$7%)</f>
        <v>379234.65360000002</v>
      </c>
      <c r="E9" s="269">
        <f>D9/12</f>
        <v>31602.8878</v>
      </c>
      <c r="F9" s="440">
        <f>(E9*12)/1672*1</f>
        <v>226.81498421052632</v>
      </c>
    </row>
    <row r="10" spans="1:9" ht="16.05" customHeight="1">
      <c r="A10" s="209">
        <v>3</v>
      </c>
      <c r="B10" s="441" t="s">
        <v>139</v>
      </c>
      <c r="C10" s="442">
        <f>27920*12</f>
        <v>335040</v>
      </c>
      <c r="D10" s="175">
        <f>C10+(C10*'Løntabel gældende fra'!$D$7%)</f>
        <v>418507.17504</v>
      </c>
      <c r="E10" s="269">
        <f>D10/12</f>
        <v>34875.59792</v>
      </c>
      <c r="F10" s="440">
        <f>(E10*12)/1672*1</f>
        <v>250.30333435406698</v>
      </c>
    </row>
    <row r="11" spans="1:9" ht="16.05" customHeight="1" thickBot="1">
      <c r="A11" s="210">
        <v>4</v>
      </c>
      <c r="B11" s="443" t="s">
        <v>147</v>
      </c>
      <c r="C11" s="444">
        <f>29200*12</f>
        <v>350400</v>
      </c>
      <c r="D11" s="159">
        <f>C11+(C11*'Løntabel gældende fra'!$D$7%)</f>
        <v>437693.75040000002</v>
      </c>
      <c r="E11" s="350">
        <f>D11/12</f>
        <v>36474.479200000002</v>
      </c>
      <c r="F11" s="439">
        <f>(E11*12)/1672*1</f>
        <v>261.77855885167463</v>
      </c>
    </row>
    <row r="12" spans="1:9" ht="10.95" customHeight="1" thickBot="1"/>
    <row r="13" spans="1:9" ht="18" thickBot="1">
      <c r="A13" s="1108" t="s">
        <v>149</v>
      </c>
      <c r="B13" s="1109"/>
      <c r="C13" s="1109"/>
      <c r="D13" s="1109"/>
      <c r="E13" s="1178"/>
      <c r="F13" s="200"/>
    </row>
    <row r="14" spans="1:9" ht="30" customHeight="1">
      <c r="A14" s="1102" t="s">
        <v>135</v>
      </c>
      <c r="B14" s="391" t="s">
        <v>97</v>
      </c>
      <c r="C14" s="392" t="s">
        <v>97</v>
      </c>
      <c r="D14" s="392" t="s">
        <v>98</v>
      </c>
      <c r="E14" s="311" t="s">
        <v>136</v>
      </c>
      <c r="F14" s="40"/>
    </row>
    <row r="15" spans="1:9" ht="16.95" customHeight="1" thickBot="1">
      <c r="A15" s="1120"/>
      <c r="B15" s="333">
        <v>40999</v>
      </c>
      <c r="C15" s="309">
        <f>'Løntabel gældende fra'!C7</f>
        <v>45962</v>
      </c>
      <c r="D15" s="309">
        <f>'Løntabel gældende fra'!C7</f>
        <v>45962</v>
      </c>
      <c r="E15" s="384" t="s">
        <v>137</v>
      </c>
      <c r="F15" s="40"/>
    </row>
    <row r="16" spans="1:9" ht="16.05" customHeight="1">
      <c r="A16" s="87" t="s">
        <v>140</v>
      </c>
      <c r="B16" s="336">
        <f>12*13140</f>
        <v>157680</v>
      </c>
      <c r="C16" s="214">
        <f>B16+(B16*'Løntabel gældende fra'!$D$7%)</f>
        <v>196962.18768</v>
      </c>
      <c r="D16" s="348">
        <f>C16/12</f>
        <v>16413.515640000001</v>
      </c>
      <c r="E16" s="438">
        <f>(D16*12)/1672*1</f>
        <v>117.80035148325361</v>
      </c>
      <c r="F16" s="213"/>
    </row>
    <row r="17" spans="1:8" ht="16.05" customHeight="1" thickBot="1">
      <c r="A17" s="89" t="s">
        <v>141</v>
      </c>
      <c r="B17" s="337">
        <f>12*13800</f>
        <v>165600</v>
      </c>
      <c r="C17" s="159">
        <f>B17+(B17*'Løntabel gældende fra'!$D$7%)</f>
        <v>206855.26559999998</v>
      </c>
      <c r="D17" s="350">
        <f>C17/12</f>
        <v>17237.9388</v>
      </c>
      <c r="E17" s="439">
        <f>(D17*12)/1672*1</f>
        <v>123.71726411483253</v>
      </c>
      <c r="F17" s="213"/>
    </row>
    <row r="18" spans="1:8" ht="13.05" customHeight="1" thickBot="1"/>
    <row r="19" spans="1:8" ht="18" thickBot="1">
      <c r="A19" s="1108" t="s">
        <v>150</v>
      </c>
      <c r="B19" s="1109"/>
      <c r="C19" s="1109"/>
      <c r="D19" s="1109"/>
      <c r="E19" s="1178"/>
    </row>
    <row r="20" spans="1:8" ht="30" customHeight="1">
      <c r="A20" s="314" t="s">
        <v>135</v>
      </c>
      <c r="B20" s="391" t="s">
        <v>97</v>
      </c>
      <c r="C20" s="392" t="s">
        <v>97</v>
      </c>
      <c r="D20" s="392" t="s">
        <v>98</v>
      </c>
      <c r="E20" s="311" t="s">
        <v>136</v>
      </c>
    </row>
    <row r="21" spans="1:8" ht="16.05" customHeight="1" thickBot="1">
      <c r="A21" s="335"/>
      <c r="B21" s="333">
        <v>40999</v>
      </c>
      <c r="C21" s="309">
        <f>'Løntabel gældende fra'!C7</f>
        <v>45962</v>
      </c>
      <c r="D21" s="309">
        <f>'Løntabel gældende fra'!C7</f>
        <v>45962</v>
      </c>
      <c r="E21" s="384" t="s">
        <v>137</v>
      </c>
    </row>
    <row r="22" spans="1:8" ht="16.05" customHeight="1" thickBot="1">
      <c r="A22" s="211" t="s">
        <v>140</v>
      </c>
      <c r="B22" s="351">
        <f>12*18700</f>
        <v>224400</v>
      </c>
      <c r="C22" s="215">
        <f>B22+(B22*'Løntabel gældende fra'!$D$7%)</f>
        <v>280303.87439999997</v>
      </c>
      <c r="D22" s="216">
        <f>C22/12</f>
        <v>23358.656199999998</v>
      </c>
      <c r="E22" s="445">
        <f>(D22*12)/1672*1</f>
        <v>167.64585789473682</v>
      </c>
      <c r="F22" s="207"/>
      <c r="G22" s="207"/>
    </row>
    <row r="23" spans="1:8" s="248" customFormat="1" ht="12" customHeight="1" thickBot="1">
      <c r="A23" s="40"/>
      <c r="B23" s="256"/>
      <c r="C23" s="256"/>
      <c r="D23" s="256"/>
      <c r="E23" s="212"/>
      <c r="F23" s="385"/>
      <c r="G23" s="385"/>
    </row>
    <row r="24" spans="1:8" ht="18" thickBot="1">
      <c r="A24" s="1108" t="s">
        <v>152</v>
      </c>
      <c r="B24" s="1109"/>
      <c r="C24" s="1109"/>
      <c r="D24" s="1109"/>
      <c r="E24" s="1178"/>
      <c r="F24" s="200"/>
      <c r="G24" s="200"/>
      <c r="H24" s="200"/>
    </row>
    <row r="25" spans="1:8" ht="31.05" customHeight="1" thickBot="1">
      <c r="A25" s="1142" t="s">
        <v>135</v>
      </c>
      <c r="B25" s="1102" t="s">
        <v>20</v>
      </c>
      <c r="C25" s="393" t="s">
        <v>207</v>
      </c>
      <c r="D25" s="394">
        <v>0.17299999999999999</v>
      </c>
      <c r="E25" s="401"/>
      <c r="F25" s="395"/>
      <c r="G25" s="398"/>
      <c r="H25" s="399"/>
    </row>
    <row r="26" spans="1:8" ht="45" customHeight="1" thickBot="1">
      <c r="A26" s="1276"/>
      <c r="B26" s="1120"/>
      <c r="C26" s="199" t="s">
        <v>21</v>
      </c>
      <c r="D26" s="397" t="s">
        <v>208</v>
      </c>
      <c r="E26" s="392" t="s">
        <v>22</v>
      </c>
      <c r="F26" s="1779"/>
      <c r="G26" s="1779"/>
      <c r="H26" s="400"/>
    </row>
    <row r="27" spans="1:8" ht="16.05" customHeight="1">
      <c r="A27" s="341">
        <v>1</v>
      </c>
      <c r="B27" s="158">
        <f>E8</f>
        <v>28317.686420000002</v>
      </c>
      <c r="C27" s="158">
        <f>E27*1/3</f>
        <v>1632.9865835533335</v>
      </c>
      <c r="D27" s="332">
        <f>E27*2/3</f>
        <v>3265.973167106667</v>
      </c>
      <c r="E27" s="158">
        <f>B27*$D$25</f>
        <v>4898.9597506600003</v>
      </c>
      <c r="F27" s="395"/>
      <c r="G27" s="396"/>
      <c r="H27" s="248"/>
    </row>
    <row r="28" spans="1:8" ht="16.05" customHeight="1">
      <c r="A28" s="402">
        <v>2</v>
      </c>
      <c r="B28" s="175">
        <f>E9</f>
        <v>31602.8878</v>
      </c>
      <c r="C28" s="175">
        <f>E28*1/3</f>
        <v>1822.4331964666665</v>
      </c>
      <c r="D28" s="339">
        <f>E28*2/3</f>
        <v>3644.8663929333329</v>
      </c>
      <c r="E28" s="175">
        <f>B28*$D$25</f>
        <v>5467.2995893999996</v>
      </c>
      <c r="F28" s="395"/>
      <c r="G28" s="396"/>
      <c r="H28" s="248"/>
    </row>
    <row r="29" spans="1:8" ht="16.05" customHeight="1">
      <c r="A29" s="402">
        <v>3</v>
      </c>
      <c r="B29" s="175">
        <f>E10</f>
        <v>34875.59792</v>
      </c>
      <c r="C29" s="175">
        <f>E29*1/3</f>
        <v>2011.1594800533333</v>
      </c>
      <c r="D29" s="339">
        <f>E29*2/3</f>
        <v>4022.3189601066665</v>
      </c>
      <c r="E29" s="175">
        <f>B29*$D$25</f>
        <v>6033.47844016</v>
      </c>
      <c r="F29" s="395"/>
      <c r="G29" s="396"/>
      <c r="H29" s="248"/>
    </row>
    <row r="30" spans="1:8" ht="16.05" customHeight="1" thickBot="1">
      <c r="A30" s="343">
        <v>4</v>
      </c>
      <c r="B30" s="159">
        <f>E11</f>
        <v>36474.479200000002</v>
      </c>
      <c r="C30" s="159">
        <f>E30*1/3</f>
        <v>2103.3616338666666</v>
      </c>
      <c r="D30" s="337">
        <f>E30*2/3</f>
        <v>4206.7232677333332</v>
      </c>
      <c r="E30" s="159">
        <f>B30*$D$25</f>
        <v>6310.0849016000002</v>
      </c>
      <c r="F30" s="395"/>
      <c r="G30" s="396"/>
      <c r="H30" s="248"/>
    </row>
    <row r="31" spans="1:8" ht="12" customHeight="1" thickBot="1">
      <c r="A31" s="40"/>
      <c r="B31" s="217"/>
      <c r="C31" s="217"/>
      <c r="D31" s="217"/>
      <c r="E31" s="212"/>
      <c r="F31" s="207"/>
      <c r="G31" s="207"/>
    </row>
    <row r="32" spans="1:8" ht="26.25" customHeight="1" thickBot="1">
      <c r="A32" s="1780" t="s">
        <v>153</v>
      </c>
      <c r="B32" s="1781"/>
      <c r="C32" s="1781"/>
      <c r="D32" s="1781"/>
      <c r="E32" s="1782"/>
      <c r="F32" s="104" t="s">
        <v>89</v>
      </c>
      <c r="G32" s="207"/>
    </row>
    <row r="33" spans="1:8" ht="28.95" customHeight="1" thickBot="1">
      <c r="A33" s="1096" t="s">
        <v>151</v>
      </c>
      <c r="B33" s="1097"/>
      <c r="C33" s="1097"/>
      <c r="D33" s="1097"/>
      <c r="E33" s="1774"/>
      <c r="F33" s="437">
        <v>160</v>
      </c>
      <c r="G33" s="207"/>
    </row>
    <row r="34" spans="1:8" ht="4.5" customHeight="1">
      <c r="A34" s="389"/>
      <c r="B34" s="389"/>
      <c r="C34" s="389"/>
      <c r="D34" s="389"/>
      <c r="E34" s="389"/>
      <c r="F34" s="390"/>
      <c r="G34" s="207"/>
    </row>
    <row r="35" spans="1:8" s="232" customFormat="1" ht="28.05" customHeight="1">
      <c r="A35" s="1776" t="s">
        <v>142</v>
      </c>
      <c r="B35" s="1776"/>
      <c r="C35" s="1776"/>
      <c r="D35" s="1776"/>
      <c r="E35" s="1776"/>
      <c r="F35" s="1776"/>
      <c r="G35" s="1776"/>
    </row>
    <row r="36" spans="1:8" s="232" customFormat="1" ht="30" customHeight="1">
      <c r="A36" s="1777" t="s">
        <v>143</v>
      </c>
      <c r="B36" s="1777"/>
      <c r="C36" s="1777"/>
      <c r="D36" s="1777"/>
      <c r="E36" s="1777"/>
      <c r="F36" s="1777"/>
      <c r="G36" s="1777"/>
      <c r="H36" s="403"/>
    </row>
    <row r="37" spans="1:8" s="232" customFormat="1" ht="32.25" customHeight="1">
      <c r="A37" s="1778" t="s">
        <v>144</v>
      </c>
      <c r="B37" s="1778"/>
      <c r="C37" s="1778"/>
      <c r="D37" s="1778"/>
      <c r="E37" s="1778"/>
      <c r="F37" s="1778"/>
      <c r="G37" s="1778"/>
    </row>
    <row r="39" spans="1:8">
      <c r="A39" s="218"/>
      <c r="B39" s="218"/>
    </row>
    <row r="40" spans="1:8">
      <c r="A40" s="218"/>
      <c r="B40" s="218"/>
      <c r="C40" s="219"/>
    </row>
    <row r="41" spans="1:8">
      <c r="C41" s="220"/>
    </row>
    <row r="42" spans="1:8">
      <c r="C42" s="220"/>
    </row>
    <row r="43" spans="1:8">
      <c r="C43" s="220"/>
    </row>
    <row r="44" spans="1:8">
      <c r="C44" s="221"/>
    </row>
  </sheetData>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topLeftCell="A41" zoomScaleNormal="125" zoomScaleSheetLayoutView="100" zoomScalePageLayoutView="125" workbookViewId="0">
      <selection activeCell="A61" sqref="A61:G62"/>
    </sheetView>
  </sheetViews>
  <sheetFormatPr defaultColWidth="8.77734375" defaultRowHeight="13.2"/>
  <cols>
    <col min="1" max="1" width="9" style="206" customWidth="1"/>
    <col min="2" max="2" width="11.6640625" style="206" customWidth="1"/>
    <col min="3" max="3" width="11.109375" style="206" customWidth="1"/>
    <col min="4" max="4" width="11.33203125" style="206" customWidth="1"/>
    <col min="5" max="5" width="10.6640625" style="206" customWidth="1"/>
    <col min="6" max="6" width="11.5546875" style="206" customWidth="1"/>
    <col min="7" max="7" width="12.6640625" style="206" customWidth="1"/>
    <col min="8" max="8" width="11.109375" style="206" customWidth="1"/>
    <col min="9" max="9" width="11.33203125" style="206" customWidth="1"/>
    <col min="10" max="10" width="11.6640625" style="206" customWidth="1"/>
    <col min="11" max="16384" width="8.77734375" style="206"/>
  </cols>
  <sheetData>
    <row r="1" spans="1:16" ht="21">
      <c r="A1" s="1208" t="s">
        <v>19</v>
      </c>
      <c r="B1" s="1209"/>
      <c r="C1" s="1209"/>
      <c r="D1" s="1209"/>
      <c r="E1" s="1209"/>
      <c r="F1" s="1209"/>
      <c r="G1" s="1209"/>
      <c r="H1" s="1209"/>
      <c r="I1" s="1209"/>
      <c r="J1" s="1210"/>
    </row>
    <row r="2" spans="1:16" ht="37.950000000000003" customHeight="1">
      <c r="A2" s="1762" t="s">
        <v>186</v>
      </c>
      <c r="B2" s="1763"/>
      <c r="C2" s="1763"/>
      <c r="D2" s="1763"/>
      <c r="E2" s="1763"/>
      <c r="F2" s="1763"/>
      <c r="G2" s="1763"/>
      <c r="H2" s="1763"/>
      <c r="I2" s="1763"/>
      <c r="J2" s="1764"/>
    </row>
    <row r="3" spans="1:16" ht="21">
      <c r="A3" s="1222" t="str">
        <f>'Forside 1'!A6:I6</f>
        <v>Gældende fra 1. november 2025</v>
      </c>
      <c r="B3" s="1223"/>
      <c r="C3" s="1223"/>
      <c r="D3" s="1223"/>
      <c r="E3" s="1223"/>
      <c r="F3" s="1223"/>
      <c r="G3" s="1223"/>
      <c r="H3" s="1223"/>
      <c r="I3" s="1223"/>
      <c r="J3" s="1224"/>
    </row>
    <row r="4" spans="1:16" ht="16.95" customHeight="1">
      <c r="A4" s="1795" t="s">
        <v>433</v>
      </c>
      <c r="B4" s="1796"/>
      <c r="C4" s="1796"/>
      <c r="D4" s="1796"/>
      <c r="E4" s="1796"/>
      <c r="F4" s="1796"/>
      <c r="G4" s="1796"/>
      <c r="H4" s="1796"/>
      <c r="I4" s="1796"/>
      <c r="J4" s="1797"/>
    </row>
    <row r="5" spans="1:16" ht="7.95" customHeight="1">
      <c r="A5" s="1795" t="s">
        <v>432</v>
      </c>
      <c r="B5" s="1796"/>
      <c r="C5" s="1796"/>
      <c r="D5" s="1796"/>
      <c r="E5" s="1796"/>
      <c r="F5" s="1796"/>
      <c r="G5" s="1796"/>
      <c r="H5" s="1796"/>
      <c r="I5" s="1796"/>
      <c r="J5" s="1797"/>
      <c r="L5" s="233"/>
      <c r="M5" s="232"/>
      <c r="N5" s="232"/>
      <c r="O5" s="232"/>
      <c r="P5" s="232"/>
    </row>
    <row r="6" spans="1:16" ht="7.05" customHeight="1" thickBot="1">
      <c r="A6" s="1798"/>
      <c r="B6" s="1799"/>
      <c r="C6" s="1799"/>
      <c r="D6" s="1799"/>
      <c r="E6" s="1799"/>
      <c r="F6" s="1799"/>
      <c r="G6" s="1799"/>
      <c r="H6" s="1799"/>
      <c r="I6" s="1799"/>
      <c r="J6" s="1800"/>
      <c r="L6" s="233"/>
      <c r="M6" s="232"/>
      <c r="N6" s="232"/>
      <c r="O6" s="232"/>
      <c r="P6" s="232"/>
    </row>
    <row r="7" spans="1:16" s="248" customFormat="1" ht="18" customHeight="1" thickBot="1">
      <c r="A7" s="514"/>
      <c r="B7" s="514"/>
      <c r="C7" s="514"/>
      <c r="D7" s="514"/>
      <c r="E7" s="514"/>
      <c r="F7" s="514"/>
      <c r="G7" s="515"/>
      <c r="H7" s="515"/>
      <c r="I7" s="515"/>
      <c r="J7" s="515"/>
      <c r="L7" s="516"/>
      <c r="M7" s="258"/>
      <c r="N7" s="258"/>
      <c r="O7" s="258"/>
      <c r="P7" s="258"/>
    </row>
    <row r="8" spans="1:16" ht="21" customHeight="1" thickBot="1">
      <c r="A8" s="1765" t="s">
        <v>428</v>
      </c>
      <c r="B8" s="1766"/>
      <c r="C8" s="1766"/>
      <c r="D8" s="1766"/>
      <c r="E8" s="1766"/>
      <c r="F8" s="1767"/>
      <c r="G8" s="1656" t="s">
        <v>165</v>
      </c>
      <c r="H8" s="1657"/>
      <c r="I8" s="1657"/>
      <c r="J8" s="1658"/>
      <c r="L8" s="233"/>
      <c r="M8" s="232"/>
      <c r="N8" s="232"/>
      <c r="O8" s="232"/>
      <c r="P8" s="232"/>
    </row>
    <row r="9" spans="1:16" ht="26.4">
      <c r="A9" s="430" t="s">
        <v>57</v>
      </c>
      <c r="B9" s="430" t="s">
        <v>72</v>
      </c>
      <c r="C9" s="433" t="s">
        <v>73</v>
      </c>
      <c r="D9" s="430" t="s">
        <v>74</v>
      </c>
      <c r="E9" s="430" t="s">
        <v>75</v>
      </c>
      <c r="F9" s="430" t="s">
        <v>76</v>
      </c>
      <c r="G9" s="434" t="s">
        <v>182</v>
      </c>
      <c r="H9" s="435" t="s">
        <v>183</v>
      </c>
      <c r="I9" s="435" t="s">
        <v>184</v>
      </c>
      <c r="J9" s="436">
        <v>0.15</v>
      </c>
    </row>
    <row r="10" spans="1:16" ht="16.05" customHeight="1">
      <c r="A10" s="284">
        <v>14</v>
      </c>
      <c r="B10" s="577">
        <f>'Statens skalatrin'!D46</f>
        <v>23692.92</v>
      </c>
      <c r="C10" s="577">
        <f>'Statens skalatrin'!F46</f>
        <v>24186.33</v>
      </c>
      <c r="D10" s="577">
        <f>'Statens skalatrin'!H46</f>
        <v>24527.83</v>
      </c>
      <c r="E10" s="577">
        <f>'Statens skalatrin'!J46</f>
        <v>25021.17</v>
      </c>
      <c r="F10" s="577">
        <f>'Statens skalatrin'!L46</f>
        <v>25362.67</v>
      </c>
      <c r="G10" s="1785">
        <f>'Statens skalatrin'!O46+(F21/12)</f>
        <v>22563.300833333335</v>
      </c>
      <c r="H10" s="1785">
        <f>ROUND(J10*1/3,2)</f>
        <v>1128.17</v>
      </c>
      <c r="I10" s="1785">
        <f>ROUND(J10*2/3,2)</f>
        <v>2256.33</v>
      </c>
      <c r="J10" s="1785">
        <f>ROUND(G10*$J$9,2)</f>
        <v>3384.5</v>
      </c>
    </row>
    <row r="11" spans="1:16" ht="16.05" customHeight="1">
      <c r="A11" s="347" t="s">
        <v>205</v>
      </c>
      <c r="B11" s="450">
        <f>B10+($F$21/12)</f>
        <v>24104.090833333332</v>
      </c>
      <c r="C11" s="450">
        <f t="shared" ref="C11:F11" si="0">C10+($F$21/12)</f>
        <v>24597.500833333335</v>
      </c>
      <c r="D11" s="450">
        <f t="shared" si="0"/>
        <v>24939.000833333335</v>
      </c>
      <c r="E11" s="450">
        <f t="shared" si="0"/>
        <v>25432.340833333332</v>
      </c>
      <c r="F11" s="450">
        <f t="shared" si="0"/>
        <v>25773.840833333332</v>
      </c>
      <c r="G11" s="1786"/>
      <c r="H11" s="1786"/>
      <c r="I11" s="1786"/>
      <c r="J11" s="1786"/>
    </row>
    <row r="12" spans="1:16" ht="16.05" customHeight="1">
      <c r="A12" s="284">
        <v>17</v>
      </c>
      <c r="B12" s="450">
        <f>'Statens skalatrin'!D55</f>
        <v>24878.92</v>
      </c>
      <c r="C12" s="450">
        <f>'Statens skalatrin'!F55</f>
        <v>25410.75</v>
      </c>
      <c r="D12" s="578">
        <f>'Statens skalatrin'!H55</f>
        <v>25778.92</v>
      </c>
      <c r="E12" s="450">
        <f>'Statens skalatrin'!J55</f>
        <v>26310.67</v>
      </c>
      <c r="F12" s="450">
        <f>'Statens skalatrin'!L55</f>
        <v>26678.58</v>
      </c>
      <c r="G12" s="1785">
        <f>'Statens skalatrin'!O55+(F22/12)</f>
        <v>23603.704166666666</v>
      </c>
      <c r="H12" s="1785">
        <f>ROUND(J12*1/3,2)</f>
        <v>1180.19</v>
      </c>
      <c r="I12" s="1785">
        <f>ROUND(J12*2/3,2)</f>
        <v>2360.37</v>
      </c>
      <c r="J12" s="1785">
        <f>ROUND(G12*$J$9,2)</f>
        <v>3540.56</v>
      </c>
    </row>
    <row r="13" spans="1:16" ht="16.05" customHeight="1">
      <c r="A13" s="897" t="s">
        <v>520</v>
      </c>
      <c r="B13" s="578">
        <f>B12+($F$22/12)</f>
        <v>25116.254166666666</v>
      </c>
      <c r="C13" s="578">
        <f>C12+($F$22/12)</f>
        <v>25648.084166666667</v>
      </c>
      <c r="D13" s="578">
        <f>D12+($F$22/12)</f>
        <v>26016.254166666666</v>
      </c>
      <c r="E13" s="578">
        <f>E12+($F$22/12)</f>
        <v>26548.004166666666</v>
      </c>
      <c r="F13" s="578">
        <f>F12+($F$22/12)</f>
        <v>26915.914166666669</v>
      </c>
      <c r="G13" s="1786"/>
      <c r="H13" s="1786"/>
      <c r="I13" s="1786"/>
      <c r="J13" s="1786"/>
    </row>
    <row r="14" spans="1:16" ht="16.05" customHeight="1">
      <c r="A14" s="897">
        <v>21</v>
      </c>
      <c r="B14" s="578">
        <f>'Statens skalatrin'!D67</f>
        <v>26459.83</v>
      </c>
      <c r="C14" s="578">
        <f>'Statens skalatrin'!F67</f>
        <v>27047.83</v>
      </c>
      <c r="D14" s="578">
        <f>'Statens skalatrin'!H67</f>
        <v>27454.92</v>
      </c>
      <c r="E14" s="578">
        <f>'Statens skalatrin'!J67</f>
        <v>28043</v>
      </c>
      <c r="F14" s="578">
        <f>'Statens skalatrin'!L67</f>
        <v>28450.080000000002</v>
      </c>
      <c r="G14" s="1785">
        <f>'Statens skalatrin'!O67+(F23/12)</f>
        <v>25517.904166666667</v>
      </c>
      <c r="H14" s="1785">
        <f>ROUND(J14*1/3,2)</f>
        <v>1275.9000000000001</v>
      </c>
      <c r="I14" s="1785">
        <f>ROUND(J14*2/3,2)</f>
        <v>2551.79</v>
      </c>
      <c r="J14" s="1785">
        <f>ROUND(G14*$J$9,2)</f>
        <v>3827.69</v>
      </c>
    </row>
    <row r="15" spans="1:16" ht="16.05" customHeight="1" thickBot="1">
      <c r="A15" s="898" t="s">
        <v>454</v>
      </c>
      <c r="B15" s="579">
        <f>B14+($F$23/12)</f>
        <v>26830.404166666667</v>
      </c>
      <c r="C15" s="579">
        <f>C14+($F$23/12)</f>
        <v>27418.404166666667</v>
      </c>
      <c r="D15" s="579">
        <f>D14+($F$23/12)</f>
        <v>27825.494166666664</v>
      </c>
      <c r="E15" s="579">
        <f>E14+($F$23/12)</f>
        <v>28413.574166666665</v>
      </c>
      <c r="F15" s="579">
        <f>F14+($F$23/12)</f>
        <v>28820.654166666667</v>
      </c>
      <c r="G15" s="1788"/>
      <c r="H15" s="1788"/>
      <c r="I15" s="1788"/>
      <c r="J15" s="1788"/>
    </row>
    <row r="16" spans="1:16" ht="16.95" customHeight="1" thickBot="1">
      <c r="A16" s="232"/>
      <c r="B16" s="226"/>
      <c r="C16" s="226"/>
      <c r="D16" s="226"/>
      <c r="E16" s="226"/>
      <c r="F16" s="226"/>
      <c r="G16" s="249"/>
      <c r="H16" s="250"/>
      <c r="I16" s="251"/>
      <c r="J16" s="251"/>
    </row>
    <row r="17" spans="1:10" ht="21" customHeight="1">
      <c r="A17" s="1099" t="s">
        <v>160</v>
      </c>
      <c r="B17" s="1100"/>
      <c r="C17" s="1100"/>
      <c r="D17" s="1100"/>
      <c r="E17" s="1100"/>
      <c r="F17" s="1101"/>
      <c r="G17" s="200"/>
      <c r="H17" s="200"/>
      <c r="I17" s="200"/>
      <c r="J17" s="222"/>
    </row>
    <row r="18" spans="1:10" ht="21" customHeight="1" thickBot="1">
      <c r="A18" s="1154" t="s">
        <v>521</v>
      </c>
      <c r="B18" s="1155"/>
      <c r="C18" s="1155"/>
      <c r="D18" s="1155"/>
      <c r="E18" s="1155"/>
      <c r="F18" s="1156"/>
      <c r="G18" s="200"/>
      <c r="H18" s="200"/>
      <c r="I18" s="200"/>
      <c r="J18" s="222"/>
    </row>
    <row r="19" spans="1:10" ht="27" customHeight="1">
      <c r="A19" s="1809" t="s">
        <v>519</v>
      </c>
      <c r="B19" s="1810"/>
      <c r="C19" s="1810"/>
      <c r="D19" s="1810"/>
      <c r="E19" s="874" t="s">
        <v>128</v>
      </c>
      <c r="F19" s="875" t="s">
        <v>306</v>
      </c>
      <c r="G19" s="243"/>
      <c r="H19" s="232"/>
      <c r="I19" s="232"/>
      <c r="J19" s="222"/>
    </row>
    <row r="20" spans="1:10" ht="15" customHeight="1">
      <c r="A20" s="1742"/>
      <c r="B20" s="1743"/>
      <c r="C20" s="1743"/>
      <c r="D20" s="1743"/>
      <c r="E20" s="517">
        <v>40999</v>
      </c>
      <c r="F20" s="883" t="str">
        <f>'Løntabel gældende fra'!D1</f>
        <v>01-11-2025</v>
      </c>
      <c r="G20" s="243"/>
      <c r="H20" s="232"/>
      <c r="I20" s="232"/>
      <c r="J20" s="222"/>
    </row>
    <row r="21" spans="1:10" ht="15" customHeight="1">
      <c r="A21" s="1752" t="s">
        <v>452</v>
      </c>
      <c r="B21" s="1753"/>
      <c r="C21" s="1753"/>
      <c r="D21" s="1787"/>
      <c r="E21" s="895">
        <v>3950</v>
      </c>
      <c r="F21" s="896">
        <f>ROUND(E21+(E21*'Løntabel gældende fra'!$D$7%),2)</f>
        <v>4934.05</v>
      </c>
      <c r="G21" s="243"/>
      <c r="H21" s="232"/>
      <c r="I21" s="232"/>
      <c r="J21" s="222"/>
    </row>
    <row r="22" spans="1:10" ht="16.05" customHeight="1">
      <c r="A22" s="1752" t="s">
        <v>518</v>
      </c>
      <c r="B22" s="1753"/>
      <c r="C22" s="1753"/>
      <c r="D22" s="1787"/>
      <c r="E22" s="895">
        <v>2280</v>
      </c>
      <c r="F22" s="896">
        <f>ROUND(E22+(E22*'Løntabel gældende fra'!$D$7%),2)</f>
        <v>2848.01</v>
      </c>
      <c r="G22" s="243"/>
      <c r="H22" s="232"/>
      <c r="I22" s="232"/>
      <c r="J22" s="222"/>
    </row>
    <row r="23" spans="1:10" ht="16.05" customHeight="1" thickBot="1">
      <c r="A23" s="1745" t="s">
        <v>453</v>
      </c>
      <c r="B23" s="1746"/>
      <c r="C23" s="1746"/>
      <c r="D23" s="1819"/>
      <c r="E23" s="949">
        <v>3560</v>
      </c>
      <c r="F23" s="950">
        <f>ROUND(E23+(E23*'Løntabel gældende fra'!$D$7%),2)</f>
        <v>4446.8900000000003</v>
      </c>
      <c r="G23" s="243"/>
      <c r="H23" s="232"/>
      <c r="I23" s="232"/>
      <c r="J23" s="222"/>
    </row>
    <row r="24" spans="1:10" ht="16.05" customHeight="1" thickBot="1">
      <c r="A24" s="1820"/>
      <c r="B24" s="1821"/>
      <c r="C24" s="1821"/>
      <c r="D24" s="1821"/>
      <c r="E24" s="1821"/>
      <c r="F24" s="1821"/>
      <c r="G24" s="1821"/>
      <c r="H24" s="1821"/>
      <c r="I24" s="1821"/>
      <c r="J24" s="1821"/>
    </row>
    <row r="25" spans="1:10" s="222" customFormat="1" ht="27" customHeight="1">
      <c r="A25" s="1162" t="s">
        <v>188</v>
      </c>
      <c r="B25" s="1235"/>
      <c r="C25" s="1235"/>
      <c r="D25" s="1235"/>
      <c r="E25" s="1235"/>
      <c r="F25" s="1235"/>
      <c r="G25" s="1236"/>
    </row>
    <row r="26" spans="1:10" s="222" customFormat="1" ht="16.05" customHeight="1" thickBot="1">
      <c r="A26" s="1089" t="s">
        <v>280</v>
      </c>
      <c r="B26" s="1090"/>
      <c r="C26" s="1090"/>
      <c r="D26" s="1090"/>
      <c r="E26" s="1090"/>
      <c r="F26" s="1090"/>
      <c r="G26" s="1091"/>
    </row>
    <row r="27" spans="1:10" s="222" customFormat="1" ht="15.6">
      <c r="A27" s="1672"/>
      <c r="B27" s="1673"/>
      <c r="C27" s="1674"/>
      <c r="D27" s="1724" t="s">
        <v>307</v>
      </c>
      <c r="E27" s="1724"/>
      <c r="F27" s="1654" t="s">
        <v>308</v>
      </c>
      <c r="G27" s="1655"/>
    </row>
    <row r="28" spans="1:10" s="222" customFormat="1" ht="13.05" customHeight="1" thickBot="1">
      <c r="A28" s="1675"/>
      <c r="B28" s="1676"/>
      <c r="C28" s="1677"/>
      <c r="D28" s="1661">
        <v>40999</v>
      </c>
      <c r="E28" s="1662"/>
      <c r="F28" s="1652" t="str">
        <f>'Løntabel gældende fra'!$D$1</f>
        <v>01-11-2025</v>
      </c>
      <c r="G28" s="1653"/>
    </row>
    <row r="29" spans="1:10" s="222" customFormat="1" ht="16.05" customHeight="1" thickBot="1">
      <c r="A29" s="1789" t="s">
        <v>159</v>
      </c>
      <c r="B29" s="1790"/>
      <c r="C29" s="1791"/>
      <c r="D29" s="1792">
        <v>148</v>
      </c>
      <c r="E29" s="1793"/>
      <c r="F29" s="1794">
        <f>ROUND(+D29*(1+'Løntabel gældende fra'!$D$7/100),2)</f>
        <v>184.87</v>
      </c>
      <c r="G29" s="1793"/>
    </row>
    <row r="30" spans="1:10" ht="15" customHeight="1" thickBot="1">
      <c r="A30" s="241"/>
      <c r="B30" s="240"/>
      <c r="C30" s="240"/>
      <c r="D30" s="240"/>
      <c r="E30" s="240"/>
      <c r="F30" s="240"/>
      <c r="G30" s="232"/>
      <c r="H30" s="231"/>
      <c r="I30" s="231"/>
      <c r="J30" s="222"/>
    </row>
    <row r="31" spans="1:10" s="222" customFormat="1" ht="27" customHeight="1">
      <c r="A31" s="1162" t="s">
        <v>441</v>
      </c>
      <c r="B31" s="1235"/>
      <c r="C31" s="1235"/>
      <c r="D31" s="1235"/>
      <c r="E31" s="1235"/>
      <c r="F31" s="1235"/>
      <c r="G31" s="1236"/>
    </row>
    <row r="32" spans="1:10" s="222" customFormat="1" ht="16.05" customHeight="1" thickBot="1">
      <c r="A32" s="1089" t="s">
        <v>280</v>
      </c>
      <c r="B32" s="1090"/>
      <c r="C32" s="1090"/>
      <c r="D32" s="1090"/>
      <c r="E32" s="1090"/>
      <c r="F32" s="1090"/>
      <c r="G32" s="1091"/>
    </row>
    <row r="33" spans="1:10" s="222" customFormat="1" ht="15.6">
      <c r="A33" s="1672"/>
      <c r="B33" s="1673"/>
      <c r="C33" s="1674"/>
      <c r="D33" s="1724" t="s">
        <v>307</v>
      </c>
      <c r="E33" s="1724"/>
      <c r="F33" s="1654" t="s">
        <v>308</v>
      </c>
      <c r="G33" s="1655"/>
    </row>
    <row r="34" spans="1:10" s="222" customFormat="1" ht="13.05" customHeight="1" thickBot="1">
      <c r="A34" s="1675"/>
      <c r="B34" s="1676"/>
      <c r="C34" s="1677"/>
      <c r="D34" s="1661">
        <v>40999</v>
      </c>
      <c r="E34" s="1662"/>
      <c r="F34" s="1652" t="str">
        <f>'Løntabel gældende fra'!$D$1</f>
        <v>01-11-2025</v>
      </c>
      <c r="G34" s="1653"/>
    </row>
    <row r="35" spans="1:10" s="222" customFormat="1" ht="16.05" customHeight="1">
      <c r="A35" s="1803" t="s">
        <v>155</v>
      </c>
      <c r="B35" s="1804"/>
      <c r="C35" s="1805"/>
      <c r="D35" s="1783">
        <f>D29*66%</f>
        <v>97.68</v>
      </c>
      <c r="E35" s="1784"/>
      <c r="F35" s="1783">
        <f>F29*66%</f>
        <v>122.0142</v>
      </c>
      <c r="G35" s="1784"/>
    </row>
    <row r="36" spans="1:10" s="222" customFormat="1" ht="16.05" customHeight="1" thickBot="1">
      <c r="A36" s="1663" t="s">
        <v>156</v>
      </c>
      <c r="B36" s="1664"/>
      <c r="C36" s="1665"/>
      <c r="D36" s="1822">
        <f>D29*74%</f>
        <v>109.52</v>
      </c>
      <c r="E36" s="1823"/>
      <c r="F36" s="1822">
        <f>F29*74%</f>
        <v>136.8038</v>
      </c>
      <c r="G36" s="1823"/>
    </row>
    <row r="37" spans="1:10" ht="15" customHeight="1" thickBot="1">
      <c r="A37" s="241"/>
      <c r="B37" s="240"/>
      <c r="C37" s="240"/>
      <c r="D37" s="240"/>
      <c r="E37" s="240"/>
      <c r="F37" s="240"/>
      <c r="G37" s="232"/>
      <c r="H37" s="231"/>
      <c r="I37" s="231"/>
      <c r="J37" s="222"/>
    </row>
    <row r="38" spans="1:10" ht="19.95" customHeight="1">
      <c r="A38" s="1099" t="s">
        <v>169</v>
      </c>
      <c r="B38" s="1100"/>
      <c r="C38" s="1100"/>
      <c r="D38" s="1100"/>
      <c r="E38" s="1100"/>
      <c r="F38" s="1100"/>
      <c r="G38" s="1100"/>
      <c r="H38" s="1100"/>
      <c r="I38" s="1101"/>
      <c r="J38" s="222"/>
    </row>
    <row r="39" spans="1:10" ht="19.95" customHeight="1" thickBot="1">
      <c r="A39" s="1154" t="s">
        <v>280</v>
      </c>
      <c r="B39" s="1155"/>
      <c r="C39" s="1155"/>
      <c r="D39" s="1155"/>
      <c r="E39" s="1155"/>
      <c r="F39" s="1155"/>
      <c r="G39" s="1155"/>
      <c r="H39" s="1155"/>
      <c r="I39" s="1156"/>
      <c r="J39" s="222"/>
    </row>
    <row r="40" spans="1:10" ht="27" customHeight="1" thickBot="1">
      <c r="A40" s="1801"/>
      <c r="B40" s="1802"/>
      <c r="C40" s="1802"/>
      <c r="D40" s="1802"/>
      <c r="E40" s="1802"/>
      <c r="F40" s="1802"/>
      <c r="G40" s="1802"/>
      <c r="H40" s="570" t="s">
        <v>307</v>
      </c>
      <c r="I40" s="573" t="s">
        <v>308</v>
      </c>
      <c r="J40" s="222"/>
    </row>
    <row r="41" spans="1:10" ht="15" customHeight="1" thickBot="1">
      <c r="A41" s="1749"/>
      <c r="B41" s="1750"/>
      <c r="C41" s="1750"/>
      <c r="D41" s="1750"/>
      <c r="E41" s="1750"/>
      <c r="F41" s="1750"/>
      <c r="G41" s="1751"/>
      <c r="H41" s="520">
        <v>40999</v>
      </c>
      <c r="I41" s="521" t="str">
        <f>'Løntabel gældende fra'!D1</f>
        <v>01-11-2025</v>
      </c>
      <c r="J41" s="222"/>
    </row>
    <row r="42" spans="1:10" ht="15" customHeight="1">
      <c r="A42" s="1752" t="s">
        <v>170</v>
      </c>
      <c r="B42" s="1753"/>
      <c r="C42" s="1753"/>
      <c r="D42" s="1753"/>
      <c r="E42" s="1753"/>
      <c r="F42" s="227"/>
      <c r="G42" s="229" t="s">
        <v>162</v>
      </c>
      <c r="H42" s="291">
        <v>22.32</v>
      </c>
      <c r="I42" s="830">
        <f>ROUND(H42+(H42*'Løntabel gældende fra'!$D$7%),2)</f>
        <v>27.88</v>
      </c>
      <c r="J42" s="222"/>
    </row>
    <row r="43" spans="1:10" ht="15" customHeight="1">
      <c r="A43" s="1760" t="s">
        <v>171</v>
      </c>
      <c r="B43" s="1761"/>
      <c r="C43" s="1761"/>
      <c r="D43" s="1761"/>
      <c r="E43" s="1761"/>
      <c r="F43" s="247"/>
      <c r="G43" s="230" t="s">
        <v>162</v>
      </c>
      <c r="H43" s="293">
        <v>39.92</v>
      </c>
      <c r="I43" s="831">
        <f>ROUND(H43+(H43*'Løntabel gældende fra'!$D$7%),2)</f>
        <v>49.87</v>
      </c>
      <c r="J43" s="222"/>
    </row>
    <row r="44" spans="1:10" ht="25.95" customHeight="1">
      <c r="A44" s="1752" t="s">
        <v>172</v>
      </c>
      <c r="B44" s="1753"/>
      <c r="C44" s="1753"/>
      <c r="D44" s="1753"/>
      <c r="E44" s="1753"/>
      <c r="F44" s="1753"/>
      <c r="G44" s="230" t="s">
        <v>162</v>
      </c>
      <c r="H44" s="293">
        <v>39.92</v>
      </c>
      <c r="I44" s="831">
        <f>ROUND(H44+(H44*'Løntabel gældende fra'!$D$7%),2)</f>
        <v>49.87</v>
      </c>
      <c r="J44" s="222"/>
    </row>
    <row r="45" spans="1:10" ht="15" customHeight="1" thickBot="1">
      <c r="A45" s="260" t="s">
        <v>161</v>
      </c>
      <c r="B45" s="259"/>
      <c r="C45" s="259"/>
      <c r="D45" s="259"/>
      <c r="E45" s="244"/>
      <c r="F45" s="244"/>
      <c r="G45" s="254" t="s">
        <v>162</v>
      </c>
      <c r="H45" s="295">
        <v>39.92</v>
      </c>
      <c r="I45" s="832">
        <f>ROUND(H45+(H45*'Løntabel gældende fra'!$D$7%),2)</f>
        <v>49.87</v>
      </c>
      <c r="J45" s="222"/>
    </row>
    <row r="46" spans="1:10" ht="15" customHeight="1" thickBot="1">
      <c r="A46" s="253"/>
      <c r="B46" s="253"/>
      <c r="C46" s="253"/>
      <c r="D46" s="253"/>
      <c r="E46" s="253"/>
      <c r="F46" s="253"/>
      <c r="G46" s="253"/>
      <c r="H46" s="217"/>
      <c r="I46" s="252"/>
      <c r="J46" s="222"/>
    </row>
    <row r="47" spans="1:10" ht="21" customHeight="1">
      <c r="A47" s="1099" t="s">
        <v>290</v>
      </c>
      <c r="B47" s="1100"/>
      <c r="C47" s="1100"/>
      <c r="D47" s="1100"/>
      <c r="E47" s="1100"/>
      <c r="F47" s="1100"/>
      <c r="G47" s="1100"/>
      <c r="H47" s="1100"/>
      <c r="I47" s="1101"/>
      <c r="J47" s="232"/>
    </row>
    <row r="48" spans="1:10" ht="21" customHeight="1" thickBot="1">
      <c r="A48" s="1154" t="s">
        <v>276</v>
      </c>
      <c r="B48" s="1155"/>
      <c r="C48" s="1155"/>
      <c r="D48" s="1155"/>
      <c r="E48" s="1155"/>
      <c r="F48" s="1155"/>
      <c r="G48" s="1155"/>
      <c r="H48" s="1155"/>
      <c r="I48" s="1156"/>
      <c r="J48" s="232"/>
    </row>
    <row r="49" spans="1:10" ht="27" customHeight="1" thickBot="1">
      <c r="A49" s="1806"/>
      <c r="B49" s="1807"/>
      <c r="C49" s="1807"/>
      <c r="D49" s="1807"/>
      <c r="E49" s="1807"/>
      <c r="F49" s="1807"/>
      <c r="G49" s="1808"/>
      <c r="H49" s="570" t="s">
        <v>307</v>
      </c>
      <c r="I49" s="573" t="s">
        <v>308</v>
      </c>
      <c r="J49" s="232"/>
    </row>
    <row r="50" spans="1:10" ht="15" customHeight="1" thickBot="1">
      <c r="A50" s="1806"/>
      <c r="B50" s="1807"/>
      <c r="C50" s="1807"/>
      <c r="D50" s="1807"/>
      <c r="E50" s="1807"/>
      <c r="F50" s="1807"/>
      <c r="G50" s="1808"/>
      <c r="H50" s="520">
        <v>40999</v>
      </c>
      <c r="I50" s="521" t="str">
        <f>'Løntabel gældende fra'!D1</f>
        <v>01-11-2025</v>
      </c>
      <c r="J50" s="232"/>
    </row>
    <row r="51" spans="1:10" ht="25.2" customHeight="1" thickBot="1">
      <c r="A51" s="1280" t="s">
        <v>174</v>
      </c>
      <c r="B51" s="1281"/>
      <c r="C51" s="1281"/>
      <c r="D51" s="1281"/>
      <c r="E51" s="1281"/>
      <c r="F51" s="522"/>
      <c r="G51" s="523" t="s">
        <v>162</v>
      </c>
      <c r="H51" s="297">
        <v>6.88</v>
      </c>
      <c r="I51" s="290">
        <f>ROUND(H51+(H51*'Løntabel gældende fra'!D7%),2)</f>
        <v>8.59</v>
      </c>
      <c r="J51" s="232"/>
    </row>
    <row r="52" spans="1:10" ht="15" customHeight="1" thickBot="1">
      <c r="A52" s="1818"/>
      <c r="B52" s="1818"/>
      <c r="C52" s="1818"/>
      <c r="D52" s="1818"/>
      <c r="E52" s="1818"/>
      <c r="F52" s="1818"/>
      <c r="G52" s="1818"/>
      <c r="H52" s="1818"/>
      <c r="I52" s="1818"/>
      <c r="J52" s="232"/>
    </row>
    <row r="53" spans="1:10" ht="21" customHeight="1">
      <c r="A53" s="1099" t="s">
        <v>175</v>
      </c>
      <c r="B53" s="1100"/>
      <c r="C53" s="1100"/>
      <c r="D53" s="1100"/>
      <c r="E53" s="1100"/>
      <c r="F53" s="1100"/>
      <c r="G53" s="1100"/>
      <c r="H53" s="1100"/>
      <c r="I53" s="1101"/>
      <c r="J53" s="232"/>
    </row>
    <row r="54" spans="1:10" ht="21" customHeight="1" thickBot="1">
      <c r="A54" s="1154" t="s">
        <v>280</v>
      </c>
      <c r="B54" s="1155"/>
      <c r="C54" s="1155"/>
      <c r="D54" s="1155"/>
      <c r="E54" s="1155"/>
      <c r="F54" s="1155"/>
      <c r="G54" s="1155"/>
      <c r="H54" s="1155"/>
      <c r="I54" s="1156"/>
      <c r="J54" s="232"/>
    </row>
    <row r="55" spans="1:10" ht="30" customHeight="1">
      <c r="A55" s="1812"/>
      <c r="B55" s="1813"/>
      <c r="C55" s="1813"/>
      <c r="D55" s="1813"/>
      <c r="E55" s="1813"/>
      <c r="F55" s="1813"/>
      <c r="G55" s="1814"/>
      <c r="H55" s="570" t="s">
        <v>128</v>
      </c>
      <c r="I55" s="571" t="s">
        <v>306</v>
      </c>
      <c r="J55" s="232"/>
    </row>
    <row r="56" spans="1:10" ht="15" customHeight="1" thickBot="1">
      <c r="A56" s="1815"/>
      <c r="B56" s="1816"/>
      <c r="C56" s="1816"/>
      <c r="D56" s="1816"/>
      <c r="E56" s="1816"/>
      <c r="F56" s="1816"/>
      <c r="G56" s="1817"/>
      <c r="H56" s="520">
        <v>40999</v>
      </c>
      <c r="I56" s="521" t="str">
        <f>'Løntabel gældende fra'!D1</f>
        <v>01-11-2025</v>
      </c>
      <c r="J56" s="232"/>
    </row>
    <row r="57" spans="1:10" ht="15" customHeight="1" thickBot="1">
      <c r="A57" s="1280" t="s">
        <v>187</v>
      </c>
      <c r="B57" s="1281"/>
      <c r="C57" s="1281"/>
      <c r="D57" s="1281"/>
      <c r="E57" s="1281"/>
      <c r="F57" s="522"/>
      <c r="G57" s="523"/>
      <c r="H57" s="297">
        <v>655</v>
      </c>
      <c r="I57" s="290">
        <f>ROUND(H57+(H57*'Løntabel gældende fra'!D7%),2)</f>
        <v>818.18</v>
      </c>
      <c r="J57" s="232"/>
    </row>
    <row r="58" spans="1:10" ht="15" customHeight="1" thickBot="1">
      <c r="A58" s="222"/>
      <c r="B58" s="222"/>
      <c r="C58" s="222"/>
      <c r="D58" s="222"/>
      <c r="E58" s="222"/>
      <c r="F58" s="223"/>
      <c r="G58" s="222"/>
      <c r="H58" s="223"/>
      <c r="I58" s="222"/>
      <c r="J58" s="232"/>
    </row>
    <row r="59" spans="1:10" ht="21" customHeight="1">
      <c r="A59" s="1099" t="s">
        <v>291</v>
      </c>
      <c r="B59" s="1100"/>
      <c r="C59" s="1100"/>
      <c r="D59" s="1100"/>
      <c r="E59" s="1100"/>
      <c r="F59" s="1100"/>
      <c r="G59" s="1100"/>
      <c r="H59" s="1100"/>
      <c r="I59" s="1101"/>
      <c r="J59" s="232"/>
    </row>
    <row r="60" spans="1:10" ht="21" customHeight="1" thickBot="1">
      <c r="A60" s="1154" t="s">
        <v>276</v>
      </c>
      <c r="B60" s="1155"/>
      <c r="C60" s="1155"/>
      <c r="D60" s="1155"/>
      <c r="E60" s="1155"/>
      <c r="F60" s="1155"/>
      <c r="G60" s="1155"/>
      <c r="H60" s="1155"/>
      <c r="I60" s="1156"/>
      <c r="J60" s="232"/>
    </row>
    <row r="61" spans="1:10" ht="15" customHeight="1">
      <c r="A61" s="1809" t="s">
        <v>178</v>
      </c>
      <c r="B61" s="1810"/>
      <c r="C61" s="1810"/>
      <c r="D61" s="1810"/>
      <c r="E61" s="1810"/>
      <c r="F61" s="1810"/>
      <c r="G61" s="1811"/>
      <c r="H61" s="518" t="s">
        <v>95</v>
      </c>
      <c r="I61" s="519" t="s">
        <v>100</v>
      </c>
      <c r="J61" s="232"/>
    </row>
    <row r="62" spans="1:10" ht="15" customHeight="1" thickBot="1">
      <c r="A62" s="1742"/>
      <c r="B62" s="1743"/>
      <c r="C62" s="1743"/>
      <c r="D62" s="1743"/>
      <c r="E62" s="1743"/>
      <c r="F62" s="1743"/>
      <c r="G62" s="1744"/>
      <c r="H62" s="520">
        <v>40999</v>
      </c>
      <c r="I62" s="521" t="str">
        <f>'Løntabel gældende fra'!D1</f>
        <v>01-11-2025</v>
      </c>
      <c r="J62" s="232"/>
    </row>
    <row r="63" spans="1:10" ht="15" customHeight="1" thickBot="1">
      <c r="A63" s="1745" t="s">
        <v>177</v>
      </c>
      <c r="B63" s="1746"/>
      <c r="C63" s="1746"/>
      <c r="D63" s="1746"/>
      <c r="E63" s="1746"/>
      <c r="F63" s="228"/>
      <c r="G63" s="239"/>
      <c r="H63" s="297">
        <v>0</v>
      </c>
      <c r="I63" s="290">
        <v>0</v>
      </c>
      <c r="J63" s="232"/>
    </row>
    <row r="64" spans="1:10" ht="15" customHeight="1" thickBot="1">
      <c r="A64" s="222"/>
      <c r="B64" s="222"/>
      <c r="C64" s="222"/>
      <c r="D64" s="222"/>
      <c r="E64" s="222"/>
      <c r="F64" s="223"/>
      <c r="G64" s="222"/>
      <c r="H64" s="223"/>
      <c r="I64" s="222"/>
      <c r="J64" s="232"/>
    </row>
    <row r="65" spans="1:9" s="232" customFormat="1" ht="17.399999999999999">
      <c r="A65" s="1099" t="s">
        <v>292</v>
      </c>
      <c r="B65" s="1100"/>
      <c r="C65" s="1100"/>
      <c r="D65" s="1100"/>
      <c r="E65" s="1100"/>
      <c r="F65" s="1100"/>
      <c r="G65" s="1100"/>
      <c r="H65" s="1100"/>
      <c r="I65" s="1101"/>
    </row>
    <row r="66" spans="1:9" s="232" customFormat="1" ht="15.6" thickBot="1">
      <c r="A66" s="1154" t="s">
        <v>276</v>
      </c>
      <c r="B66" s="1155"/>
      <c r="C66" s="1155"/>
      <c r="D66" s="1155"/>
      <c r="E66" s="1155"/>
      <c r="F66" s="1155"/>
      <c r="G66" s="1155"/>
      <c r="H66" s="1155"/>
      <c r="I66" s="1156"/>
    </row>
    <row r="67" spans="1:9" s="232" customFormat="1" ht="26.4">
      <c r="A67" s="1277"/>
      <c r="B67" s="1278"/>
      <c r="C67" s="1278"/>
      <c r="D67" s="1278"/>
      <c r="E67" s="1278"/>
      <c r="F67" s="1278"/>
      <c r="G67" s="1279"/>
      <c r="H67" s="570" t="s">
        <v>128</v>
      </c>
      <c r="I67" s="571" t="s">
        <v>306</v>
      </c>
    </row>
    <row r="68" spans="1:9" s="232" customFormat="1" ht="14.4" thickBot="1">
      <c r="A68" s="1809"/>
      <c r="B68" s="1810"/>
      <c r="C68" s="1810"/>
      <c r="D68" s="1810"/>
      <c r="E68" s="1810"/>
      <c r="F68" s="1810"/>
      <c r="G68" s="1811"/>
      <c r="H68" s="520">
        <v>40999</v>
      </c>
      <c r="I68" s="521" t="str">
        <f>'Løntabel gældende fra'!D1</f>
        <v>01-11-2025</v>
      </c>
    </row>
    <row r="69" spans="1:9" s="232" customFormat="1" ht="14.4" thickBot="1">
      <c r="A69" s="1280" t="s">
        <v>181</v>
      </c>
      <c r="B69" s="1281"/>
      <c r="C69" s="1281"/>
      <c r="D69" s="1281"/>
      <c r="E69" s="1281"/>
      <c r="F69" s="522"/>
      <c r="G69" s="523"/>
      <c r="H69" s="297">
        <v>10500</v>
      </c>
      <c r="I69" s="298">
        <f>ROUND(H69+(H69*'Løntabel gældende fra'!D7%),2)</f>
        <v>13115.82</v>
      </c>
    </row>
    <row r="70" spans="1:9" s="258" customFormat="1" ht="13.8">
      <c r="A70" s="255"/>
      <c r="B70" s="255"/>
      <c r="C70" s="255"/>
      <c r="D70" s="255"/>
      <c r="E70" s="255"/>
      <c r="F70" s="243"/>
      <c r="G70" s="243"/>
      <c r="H70" s="256"/>
      <c r="I70" s="257"/>
    </row>
  </sheetData>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3"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Thomas Sørensen</cp:lastModifiedBy>
  <cp:lastPrinted>2025-10-21T11:12:15Z</cp:lastPrinted>
  <dcterms:created xsi:type="dcterms:W3CDTF">2014-05-07T09:31:49Z</dcterms:created>
  <dcterms:modified xsi:type="dcterms:W3CDTF">2025-10-30T18:51:40Z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